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a07f16b4e5c3260/Área de Trabalho/ANDERSON/CRC - ES/Perícia em Avaliação de Empresas e Apuração de Haveres/"/>
    </mc:Choice>
  </mc:AlternateContent>
  <xr:revisionPtr revIDLastSave="2" documentId="13_ncr:1_{DC6F9DFC-3F83-4211-9374-B5687FBE6A05}" xr6:coauthVersionLast="47" xr6:coauthVersionMax="47" xr10:uidLastSave="{26DE75FE-B6C0-4825-9184-B945F5CDEF35}"/>
  <bookViews>
    <workbookView xWindow="-24120" yWindow="-120" windowWidth="24240" windowHeight="13140" tabRatio="999" activeTab="4" xr2:uid="{00000000-000D-0000-FFFF-FFFF00000000}"/>
  </bookViews>
  <sheets>
    <sheet name="Balancete" sheetId="1" r:id="rId1"/>
    <sheet name="DRE" sheetId="24" r:id="rId2"/>
    <sheet name="Balanço" sheetId="23" r:id="rId3"/>
    <sheet name="Ajustes" sheetId="25" r:id="rId4"/>
    <sheet name="Haveres do sócio retirante" sheetId="3" r:id="rId5"/>
  </sheets>
  <definedNames>
    <definedName name="_xlnm._FilterDatabase" localSheetId="0" hidden="1">Balancete!#REF!</definedName>
    <definedName name="_xlnm._FilterDatabase" localSheetId="2" hidden="1">Balanço!$C$2:$C$216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23" l="1"/>
  <c r="C25" i="25"/>
  <c r="C19" i="25"/>
  <c r="C9" i="25"/>
  <c r="D33" i="23"/>
  <c r="D6" i="23"/>
  <c r="C8" i="25"/>
  <c r="D19" i="25"/>
  <c r="D28" i="23" l="1"/>
  <c r="C24" i="25"/>
  <c r="C23" i="25"/>
  <c r="C22" i="25"/>
  <c r="C21" i="25"/>
  <c r="E30" i="23"/>
  <c r="E31" i="23"/>
  <c r="E33" i="23"/>
  <c r="E29" i="23"/>
  <c r="E13" i="23"/>
  <c r="E14" i="23"/>
  <c r="E12" i="23"/>
  <c r="E6" i="23"/>
  <c r="E8" i="23"/>
  <c r="E9" i="23"/>
  <c r="E5" i="23"/>
  <c r="E19" i="23"/>
  <c r="E20" i="23"/>
  <c r="E21" i="23"/>
  <c r="E22" i="23"/>
  <c r="E18" i="23"/>
  <c r="D7" i="23"/>
  <c r="E32" i="23" s="1"/>
  <c r="D24" i="23"/>
  <c r="E24" i="23" s="1"/>
  <c r="D26" i="23"/>
  <c r="E26" i="23" s="1"/>
  <c r="E25" i="23"/>
  <c r="D25" i="23"/>
  <c r="C7" i="25"/>
  <c r="C6" i="25"/>
  <c r="D13" i="23"/>
  <c r="C17" i="25"/>
  <c r="C15" i="25"/>
  <c r="C5" i="25"/>
  <c r="D22" i="23"/>
  <c r="D17" i="23" s="1"/>
  <c r="C31" i="23"/>
  <c r="C30" i="23"/>
  <c r="C29" i="23"/>
  <c r="C26" i="23"/>
  <c r="C25" i="23"/>
  <c r="C21" i="23"/>
  <c r="C20" i="23"/>
  <c r="C19" i="23"/>
  <c r="C17" i="23" s="1"/>
  <c r="C18" i="23"/>
  <c r="D11" i="23"/>
  <c r="C14" i="23"/>
  <c r="C13" i="23"/>
  <c r="C12" i="23"/>
  <c r="C11" i="23" s="1"/>
  <c r="D4" i="23"/>
  <c r="C9" i="23"/>
  <c r="C8" i="23"/>
  <c r="C7" i="23"/>
  <c r="C6" i="23"/>
  <c r="C5" i="23"/>
  <c r="C4" i="23" s="1"/>
  <c r="C13" i="24"/>
  <c r="C11" i="24"/>
  <c r="C9" i="24"/>
  <c r="C12" i="24"/>
  <c r="C10" i="24"/>
  <c r="C8" i="24"/>
  <c r="C7" i="24"/>
  <c r="C6" i="24"/>
  <c r="C5" i="24"/>
  <c r="C4" i="24"/>
  <c r="C3" i="24"/>
  <c r="E7" i="23" l="1"/>
  <c r="D34" i="23"/>
  <c r="E28" i="23"/>
  <c r="E4" i="23"/>
  <c r="E11" i="23"/>
  <c r="E17" i="23"/>
  <c r="C28" i="23"/>
  <c r="C24" i="23"/>
  <c r="D25" i="1" l="1"/>
  <c r="E25" i="1"/>
  <c r="D15" i="23" l="1"/>
  <c r="D36" i="23" s="1"/>
  <c r="C52" i="1"/>
  <c r="C53" i="1" s="1"/>
  <c r="C54" i="1" s="1"/>
  <c r="C55" i="1" s="1"/>
  <c r="E15" i="23" l="1"/>
  <c r="C15" i="23"/>
  <c r="C56" i="1"/>
  <c r="C58" i="1" l="1"/>
  <c r="C57" i="1"/>
  <c r="C59" i="1" l="1"/>
  <c r="C60" i="1" s="1"/>
  <c r="C34" i="23"/>
  <c r="C36" i="23" s="1"/>
  <c r="E34" i="23" l="1"/>
  <c r="E36" i="23" s="1"/>
  <c r="C5" i="3"/>
  <c r="C6" i="3" s="1"/>
</calcChain>
</file>

<file path=xl/sharedStrings.xml><?xml version="1.0" encoding="utf-8"?>
<sst xmlns="http://schemas.openxmlformats.org/spreadsheetml/2006/main" count="141" uniqueCount="87">
  <si>
    <t>PASSIVO CIRCULANTE</t>
  </si>
  <si>
    <t>PASSIVO NÃO CIRCULANTE</t>
  </si>
  <si>
    <t>Fornecedores</t>
  </si>
  <si>
    <t>Realizável a longo prazo</t>
  </si>
  <si>
    <t>Imobilizado</t>
  </si>
  <si>
    <t>(-) Depreciação acumulada</t>
  </si>
  <si>
    <t>Haveres do sócio retirante</t>
  </si>
  <si>
    <t>APURAÇÃO DOS HAVERES DA SÓCIO RETIRANTE</t>
  </si>
  <si>
    <t>% Participação pessoa física</t>
  </si>
  <si>
    <t>Disponibilidades</t>
  </si>
  <si>
    <t>Tributos a compensar</t>
  </si>
  <si>
    <t>Despesas do exercício seguinte</t>
  </si>
  <si>
    <t>VALOR ORIGINAL</t>
  </si>
  <si>
    <t>CONTAS</t>
  </si>
  <si>
    <t>ATIVO CIRCULANTE</t>
  </si>
  <si>
    <t>ATIVO NÃO CIRCULANTE</t>
  </si>
  <si>
    <t>ATIVO TOTAL</t>
  </si>
  <si>
    <t>PATRIMÔNIO LÍQUIDO</t>
  </si>
  <si>
    <t>Capital social</t>
  </si>
  <si>
    <t>(-) Prejuízos acumulados</t>
  </si>
  <si>
    <t>PASSIVO TOTAL + PL TOTAL</t>
  </si>
  <si>
    <t>Clientes a receber</t>
  </si>
  <si>
    <t>Receita bruta</t>
  </si>
  <si>
    <t>Resultado operacional</t>
  </si>
  <si>
    <t>Resultado líquido</t>
  </si>
  <si>
    <t>Tributos a recolher</t>
  </si>
  <si>
    <t>Salários e encargos a pagar</t>
  </si>
  <si>
    <t>Adiantamento de clientes</t>
  </si>
  <si>
    <t>Estoques</t>
  </si>
  <si>
    <t>Saldo devedor</t>
  </si>
  <si>
    <t>Saldo credor</t>
  </si>
  <si>
    <t>Classificação</t>
  </si>
  <si>
    <t>Ativo Circulante</t>
  </si>
  <si>
    <t>Depreciação acumulada</t>
  </si>
  <si>
    <t>Redutora Ativo Circulante</t>
  </si>
  <si>
    <t>Passivo Circulante</t>
  </si>
  <si>
    <t>Obrigações financeiras</t>
  </si>
  <si>
    <t>SOCIEDADE EMPRESÁRIA XYZ EM 31/10/2023</t>
  </si>
  <si>
    <t>(-) Encargos a transcorrer</t>
  </si>
  <si>
    <t>Passivo não Circulante</t>
  </si>
  <si>
    <t>Encargos a transcorrer</t>
  </si>
  <si>
    <t>Redutora Passivo não Circulante</t>
  </si>
  <si>
    <t>Patrimônio Líquido</t>
  </si>
  <si>
    <t>Prejuízos acumulados</t>
  </si>
  <si>
    <t>Redutora do Patrimônio Líquido</t>
  </si>
  <si>
    <t>Receita Bruta</t>
  </si>
  <si>
    <t>Deduções</t>
  </si>
  <si>
    <t>Receita Líquida</t>
  </si>
  <si>
    <t>Custo da mercadoria vendida</t>
  </si>
  <si>
    <t>Resultado Bruto</t>
  </si>
  <si>
    <t>Despesas operacionais</t>
  </si>
  <si>
    <t>Despesas financeiras</t>
  </si>
  <si>
    <t>Resultado antes dos tributos sobre IR/CSLL</t>
  </si>
  <si>
    <t>Tributos sobre IR/CSLL</t>
  </si>
  <si>
    <t>Receita</t>
  </si>
  <si>
    <t>Deduções da Receita Bruta</t>
  </si>
  <si>
    <t>Deduções da Receita</t>
  </si>
  <si>
    <t>Despesa</t>
  </si>
  <si>
    <t>Total</t>
  </si>
  <si>
    <t>Resultado acumulado até OUT/23</t>
  </si>
  <si>
    <t>AJUSTES</t>
  </si>
  <si>
    <t>VALOR AJUSTADO</t>
  </si>
  <si>
    <t>B</t>
  </si>
  <si>
    <t>PL ajustado</t>
  </si>
  <si>
    <t>Ajustes de Avaliação Ativo</t>
  </si>
  <si>
    <t>Ajustes de Avaliação Passivo</t>
  </si>
  <si>
    <t>DRE</t>
  </si>
  <si>
    <t>Provisões</t>
  </si>
  <si>
    <t>Imobilizados</t>
  </si>
  <si>
    <t>Passivo</t>
  </si>
  <si>
    <t>CONTA</t>
  </si>
  <si>
    <t>VALOR</t>
  </si>
  <si>
    <t>GRUPO</t>
  </si>
  <si>
    <t>Ativo</t>
  </si>
  <si>
    <t>Clientes</t>
  </si>
  <si>
    <t>Imóvel</t>
  </si>
  <si>
    <t>(-) Depreciação</t>
  </si>
  <si>
    <t>Valor contábil</t>
  </si>
  <si>
    <t>Valor de mercado</t>
  </si>
  <si>
    <t>Diferença</t>
  </si>
  <si>
    <t>VP Obrigação financeira</t>
  </si>
  <si>
    <t>Estoque</t>
  </si>
  <si>
    <t>Preço de venda</t>
  </si>
  <si>
    <t>(-) Despesas venda</t>
  </si>
  <si>
    <t>Valor realizável</t>
  </si>
  <si>
    <t xml:space="preserve"> </t>
  </si>
  <si>
    <t>Nome do sócio retirante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</si>
</sst>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_);[Red]\(&quot;R$&quot;\ #,##0.00\)"/>
    <numFmt numFmtId="164" formatCode="&quot;R$&quot;\ #,##0.00"/>
  </numFmts>
  <fonts count="6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</cellStyleXfs>
  <cellXfs count="45">
    <xf numFmtId="0" fontId="0" fillId="0" borderId="0" xfId="0" applyAlignment="1">
      <alignment horizontal="left" vertical="top"/>
    </xf>
    <xf numFmtId="4" fontId="4" fillId="0" borderId="3" xfId="0" applyNumberFormat="1" applyFont="1" applyBorder="1" applyAlignment="1">
      <alignment horizontal="center" vertical="top"/>
    </xf>
    <xf numFmtId="1" fontId="4" fillId="0" borderId="4" xfId="0" applyNumberFormat="1" applyFont="1" applyBorder="1" applyAlignment="1">
      <alignment horizontal="left" vertical="top"/>
    </xf>
    <xf numFmtId="1" fontId="4" fillId="0" borderId="6" xfId="0" applyNumberFormat="1" applyFont="1" applyBorder="1" applyAlignment="1">
      <alignment horizontal="left" vertical="top"/>
    </xf>
    <xf numFmtId="4" fontId="4" fillId="0" borderId="6" xfId="0" applyNumberFormat="1" applyFont="1" applyBorder="1" applyAlignment="1">
      <alignment horizontal="center" vertical="top"/>
    </xf>
    <xf numFmtId="1" fontId="5" fillId="0" borderId="6" xfId="0" applyNumberFormat="1" applyFont="1" applyBorder="1" applyAlignment="1">
      <alignment horizontal="left" vertical="top"/>
    </xf>
    <xf numFmtId="1" fontId="5" fillId="0" borderId="4" xfId="0" applyNumberFormat="1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10" fontId="5" fillId="0" borderId="6" xfId="0" applyNumberFormat="1" applyFont="1" applyBorder="1" applyAlignment="1">
      <alignment horizontal="center" vertical="top"/>
    </xf>
    <xf numFmtId="4" fontId="5" fillId="0" borderId="6" xfId="0" applyNumberFormat="1" applyFont="1" applyBorder="1" applyAlignment="1">
      <alignment horizontal="center" vertical="top"/>
    </xf>
    <xf numFmtId="164" fontId="4" fillId="0" borderId="7" xfId="0" applyNumberFormat="1" applyFont="1" applyBorder="1" applyAlignment="1">
      <alignment horizontal="center" vertical="top"/>
    </xf>
    <xf numFmtId="1" fontId="4" fillId="0" borderId="3" xfId="0" applyNumberFormat="1" applyFont="1" applyBorder="1" applyAlignment="1">
      <alignment horizontal="left" vertical="top"/>
    </xf>
    <xf numFmtId="1" fontId="5" fillId="0" borderId="3" xfId="0" applyNumberFormat="1" applyFont="1" applyBorder="1" applyAlignment="1">
      <alignment horizontal="left" vertical="top"/>
    </xf>
    <xf numFmtId="1" fontId="4" fillId="0" borderId="3" xfId="0" applyNumberFormat="1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1" fontId="4" fillId="0" borderId="1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4" fontId="5" fillId="0" borderId="0" xfId="0" applyNumberFormat="1" applyFont="1" applyAlignment="1">
      <alignment horizontal="left" vertical="top"/>
    </xf>
    <xf numFmtId="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10" fontId="5" fillId="0" borderId="0" xfId="0" applyNumberFormat="1" applyFont="1" applyAlignment="1">
      <alignment horizontal="left" vertical="top"/>
    </xf>
    <xf numFmtId="14" fontId="5" fillId="0" borderId="0" xfId="0" applyNumberFormat="1" applyFont="1" applyAlignment="1">
      <alignment horizontal="left" vertical="top"/>
    </xf>
    <xf numFmtId="8" fontId="5" fillId="0" borderId="0" xfId="0" applyNumberFormat="1" applyFont="1" applyAlignment="1">
      <alignment horizontal="left" vertical="top"/>
    </xf>
    <xf numFmtId="1" fontId="5" fillId="0" borderId="3" xfId="0" applyNumberFormat="1" applyFont="1" applyBorder="1" applyAlignment="1">
      <alignment horizontal="center" vertical="top"/>
    </xf>
    <xf numFmtId="4" fontId="5" fillId="0" borderId="3" xfId="0" applyNumberFormat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left" vertical="top"/>
    </xf>
    <xf numFmtId="4" fontId="4" fillId="0" borderId="7" xfId="0" applyNumberFormat="1" applyFont="1" applyBorder="1" applyAlignment="1">
      <alignment horizontal="center" vertical="top"/>
    </xf>
    <xf numFmtId="4" fontId="4" fillId="0" borderId="8" xfId="0" applyNumberFormat="1" applyFont="1" applyBorder="1" applyAlignment="1">
      <alignment horizontal="center" vertical="top"/>
    </xf>
    <xf numFmtId="4" fontId="5" fillId="0" borderId="7" xfId="0" applyNumberFormat="1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164" fontId="5" fillId="0" borderId="3" xfId="0" applyNumberFormat="1" applyFont="1" applyBorder="1" applyAlignment="1">
      <alignment horizontal="center" vertical="top"/>
    </xf>
    <xf numFmtId="4" fontId="5" fillId="0" borderId="4" xfId="0" applyNumberFormat="1" applyFont="1" applyBorder="1" applyAlignment="1">
      <alignment horizontal="center" vertical="top"/>
    </xf>
    <xf numFmtId="4" fontId="4" fillId="0" borderId="4" xfId="0" applyNumberFormat="1" applyFont="1" applyBorder="1" applyAlignment="1">
      <alignment horizontal="center" vertical="top"/>
    </xf>
    <xf numFmtId="164" fontId="5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left" vertical="top"/>
    </xf>
    <xf numFmtId="4" fontId="4" fillId="0" borderId="0" xfId="0" applyNumberFormat="1" applyFont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</cellXfs>
  <cellStyles count="5">
    <cellStyle name="Normal" xfId="0" builtinId="0"/>
    <cellStyle name="Normal 2" xfId="1" xr:uid="{C204FA35-CCD3-4F84-990B-1B71BAA8250A}"/>
    <cellStyle name="Normal 2 3" xfId="3" xr:uid="{03A2DE2B-491B-41A6-BF34-BFA0081636F8}"/>
    <cellStyle name="Normal 2 3 2" xfId="4" xr:uid="{0EE0CE4B-71D1-480A-8A99-9DA7800A3AC1}"/>
    <cellStyle name="Porcentagem 2" xfId="2" xr:uid="{12C82797-561D-4D6A-A0A4-1F364B81178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61"/>
  <sheetViews>
    <sheetView topLeftCell="A9" zoomScale="130" zoomScaleNormal="130" workbookViewId="0">
      <selection activeCell="D25" sqref="D25"/>
    </sheetView>
  </sheetViews>
  <sheetFormatPr defaultColWidth="9.33203125" defaultRowHeight="15" x14ac:dyDescent="0.25"/>
  <cols>
    <col min="1" max="1" width="8.88671875" style="9" customWidth="1"/>
    <col min="2" max="2" width="44.21875" style="9" customWidth="1"/>
    <col min="3" max="3" width="33.44140625" style="9" bestFit="1" customWidth="1"/>
    <col min="4" max="4" width="16.44140625" style="9" customWidth="1"/>
    <col min="5" max="5" width="16" style="9" customWidth="1"/>
    <col min="6" max="6" width="9.33203125" style="9"/>
    <col min="7" max="7" width="12.109375" style="9" bestFit="1" customWidth="1"/>
    <col min="8" max="16384" width="9.33203125" style="9"/>
  </cols>
  <sheetData>
    <row r="2" spans="2:5" ht="15.6" x14ac:dyDescent="0.25">
      <c r="B2" s="14" t="s">
        <v>13</v>
      </c>
      <c r="C2" s="16" t="s">
        <v>31</v>
      </c>
      <c r="D2" s="14" t="s">
        <v>29</v>
      </c>
      <c r="E2" s="14" t="s">
        <v>30</v>
      </c>
    </row>
    <row r="3" spans="2:5" x14ac:dyDescent="0.25">
      <c r="B3" s="15" t="s">
        <v>9</v>
      </c>
      <c r="C3" s="26" t="s">
        <v>32</v>
      </c>
      <c r="D3" s="27">
        <v>370126.97</v>
      </c>
      <c r="E3" s="17"/>
    </row>
    <row r="4" spans="2:5" x14ac:dyDescent="0.25">
      <c r="B4" s="15" t="s">
        <v>21</v>
      </c>
      <c r="C4" s="26" t="s">
        <v>32</v>
      </c>
      <c r="D4" s="27">
        <v>230709.12</v>
      </c>
      <c r="E4" s="17"/>
    </row>
    <row r="5" spans="2:5" x14ac:dyDescent="0.25">
      <c r="B5" s="15" t="s">
        <v>28</v>
      </c>
      <c r="C5" s="26" t="s">
        <v>32</v>
      </c>
      <c r="D5" s="27">
        <v>16865.830000000002</v>
      </c>
      <c r="E5" s="17"/>
    </row>
    <row r="6" spans="2:5" x14ac:dyDescent="0.25">
      <c r="B6" s="15" t="s">
        <v>10</v>
      </c>
      <c r="C6" s="26" t="s">
        <v>32</v>
      </c>
      <c r="D6" s="27">
        <v>8790.39</v>
      </c>
      <c r="E6" s="17"/>
    </row>
    <row r="7" spans="2:5" x14ac:dyDescent="0.25">
      <c r="B7" s="15" t="s">
        <v>11</v>
      </c>
      <c r="C7" s="26" t="s">
        <v>32</v>
      </c>
      <c r="D7" s="27">
        <v>1222.82</v>
      </c>
      <c r="E7" s="17"/>
    </row>
    <row r="8" spans="2:5" x14ac:dyDescent="0.25">
      <c r="B8" s="15" t="s">
        <v>3</v>
      </c>
      <c r="C8" s="26" t="s">
        <v>32</v>
      </c>
      <c r="D8" s="27">
        <v>18849.54</v>
      </c>
      <c r="E8" s="17"/>
    </row>
    <row r="9" spans="2:5" x14ac:dyDescent="0.25">
      <c r="B9" s="15" t="s">
        <v>4</v>
      </c>
      <c r="C9" s="26" t="s">
        <v>32</v>
      </c>
      <c r="D9" s="27">
        <v>2122856.59</v>
      </c>
      <c r="E9" s="17"/>
    </row>
    <row r="10" spans="2:5" x14ac:dyDescent="0.25">
      <c r="B10" s="17" t="s">
        <v>33</v>
      </c>
      <c r="C10" s="28" t="s">
        <v>34</v>
      </c>
      <c r="D10" s="17"/>
      <c r="E10" s="27">
        <v>843273.94</v>
      </c>
    </row>
    <row r="11" spans="2:5" x14ac:dyDescent="0.25">
      <c r="B11" s="15" t="s">
        <v>2</v>
      </c>
      <c r="C11" s="26" t="s">
        <v>35</v>
      </c>
      <c r="D11" s="17"/>
      <c r="E11" s="27">
        <v>57476.22</v>
      </c>
    </row>
    <row r="12" spans="2:5" x14ac:dyDescent="0.25">
      <c r="B12" s="15" t="s">
        <v>26</v>
      </c>
      <c r="C12" s="26" t="s">
        <v>35</v>
      </c>
      <c r="D12" s="17"/>
      <c r="E12" s="27">
        <v>17157.05</v>
      </c>
    </row>
    <row r="13" spans="2:5" x14ac:dyDescent="0.25">
      <c r="B13" s="15" t="s">
        <v>25</v>
      </c>
      <c r="C13" s="26" t="s">
        <v>35</v>
      </c>
      <c r="D13" s="17"/>
      <c r="E13" s="27">
        <v>12814.52</v>
      </c>
    </row>
    <row r="14" spans="2:5" x14ac:dyDescent="0.25">
      <c r="B14" s="15" t="s">
        <v>27</v>
      </c>
      <c r="C14" s="26" t="s">
        <v>35</v>
      </c>
      <c r="D14" s="17"/>
      <c r="E14" s="27">
        <v>34190.980000000003</v>
      </c>
    </row>
    <row r="15" spans="2:5" x14ac:dyDescent="0.25">
      <c r="B15" s="15" t="s">
        <v>36</v>
      </c>
      <c r="C15" s="28" t="s">
        <v>39</v>
      </c>
      <c r="D15" s="17"/>
      <c r="E15" s="27">
        <v>73207.990000000005</v>
      </c>
    </row>
    <row r="16" spans="2:5" x14ac:dyDescent="0.25">
      <c r="B16" s="17" t="s">
        <v>40</v>
      </c>
      <c r="C16" s="28" t="s">
        <v>41</v>
      </c>
      <c r="D16" s="27">
        <v>16465.66</v>
      </c>
      <c r="E16" s="27"/>
    </row>
    <row r="17" spans="2:7" x14ac:dyDescent="0.25">
      <c r="B17" s="17" t="s">
        <v>18</v>
      </c>
      <c r="C17" s="28" t="s">
        <v>42</v>
      </c>
      <c r="D17" s="17"/>
      <c r="E17" s="27">
        <v>2000000</v>
      </c>
    </row>
    <row r="18" spans="2:7" x14ac:dyDescent="0.25">
      <c r="B18" s="17" t="s">
        <v>43</v>
      </c>
      <c r="C18" s="28" t="s">
        <v>44</v>
      </c>
      <c r="D18" s="27">
        <v>810487.81</v>
      </c>
      <c r="E18" s="17"/>
    </row>
    <row r="19" spans="2:7" x14ac:dyDescent="0.25">
      <c r="B19" s="17" t="s">
        <v>22</v>
      </c>
      <c r="C19" s="28" t="s">
        <v>54</v>
      </c>
      <c r="D19" s="17"/>
      <c r="E19" s="27">
        <v>3251679.43</v>
      </c>
    </row>
    <row r="20" spans="2:7" x14ac:dyDescent="0.25">
      <c r="B20" s="17" t="s">
        <v>55</v>
      </c>
      <c r="C20" s="28" t="s">
        <v>56</v>
      </c>
      <c r="D20" s="27">
        <v>812919.85750000004</v>
      </c>
      <c r="E20" s="17"/>
    </row>
    <row r="21" spans="2:7" x14ac:dyDescent="0.25">
      <c r="B21" s="17" t="s">
        <v>48</v>
      </c>
      <c r="C21" s="28" t="s">
        <v>57</v>
      </c>
      <c r="D21" s="27">
        <v>1097441.8076250001</v>
      </c>
      <c r="E21" s="17"/>
    </row>
    <row r="22" spans="2:7" x14ac:dyDescent="0.25">
      <c r="B22" s="17" t="s">
        <v>50</v>
      </c>
      <c r="C22" s="28" t="s">
        <v>57</v>
      </c>
      <c r="D22" s="27">
        <v>509700.75065250002</v>
      </c>
      <c r="E22" s="17"/>
    </row>
    <row r="23" spans="2:7" x14ac:dyDescent="0.25">
      <c r="B23" s="17" t="s">
        <v>51</v>
      </c>
      <c r="C23" s="28" t="s">
        <v>57</v>
      </c>
      <c r="D23" s="27">
        <v>127425.18766312501</v>
      </c>
      <c r="E23" s="17"/>
    </row>
    <row r="24" spans="2:7" x14ac:dyDescent="0.25">
      <c r="B24" s="17" t="s">
        <v>53</v>
      </c>
      <c r="C24" s="28" t="s">
        <v>57</v>
      </c>
      <c r="D24" s="27">
        <v>145937.79655937513</v>
      </c>
      <c r="E24" s="17"/>
    </row>
    <row r="25" spans="2:7" ht="15.6" x14ac:dyDescent="0.25">
      <c r="B25" s="29" t="s">
        <v>58</v>
      </c>
      <c r="C25" s="29"/>
      <c r="D25" s="1">
        <f>SUM(D3:D24)</f>
        <v>6289800.1300000008</v>
      </c>
      <c r="E25" s="1">
        <f>SUM(E3:E24)</f>
        <v>6289800.1300000008</v>
      </c>
      <c r="G25" s="20"/>
    </row>
    <row r="32" spans="2:7" x14ac:dyDescent="0.25">
      <c r="D32" s="23"/>
    </row>
    <row r="34" spans="3:5" x14ac:dyDescent="0.25">
      <c r="D34" s="24"/>
    </row>
    <row r="35" spans="3:5" x14ac:dyDescent="0.25">
      <c r="D35" s="24"/>
    </row>
    <row r="36" spans="3:5" x14ac:dyDescent="0.25">
      <c r="D36" s="25"/>
      <c r="E36" s="20"/>
    </row>
    <row r="37" spans="3:5" x14ac:dyDescent="0.25">
      <c r="D37" s="20"/>
    </row>
    <row r="42" spans="3:5" x14ac:dyDescent="0.25">
      <c r="C42" s="22"/>
    </row>
    <row r="43" spans="3:5" x14ac:dyDescent="0.25">
      <c r="C43" s="22"/>
    </row>
    <row r="51" spans="2:3" x14ac:dyDescent="0.25">
      <c r="B51" s="9" t="s">
        <v>45</v>
      </c>
      <c r="C51" s="12">
        <v>3251679.43</v>
      </c>
    </row>
    <row r="52" spans="2:3" x14ac:dyDescent="0.25">
      <c r="B52" s="9" t="s">
        <v>46</v>
      </c>
      <c r="C52" s="12">
        <f>-0.25*C51</f>
        <v>-812919.85750000004</v>
      </c>
    </row>
    <row r="53" spans="2:3" x14ac:dyDescent="0.25">
      <c r="B53" s="9" t="s">
        <v>47</v>
      </c>
      <c r="C53" s="21">
        <f>C51+C52</f>
        <v>2438759.5725000002</v>
      </c>
    </row>
    <row r="54" spans="2:3" x14ac:dyDescent="0.25">
      <c r="B54" s="9" t="s">
        <v>48</v>
      </c>
      <c r="C54" s="21">
        <f>-0.45*C53</f>
        <v>-1097441.8076250001</v>
      </c>
    </row>
    <row r="55" spans="2:3" x14ac:dyDescent="0.25">
      <c r="B55" s="9" t="s">
        <v>49</v>
      </c>
      <c r="C55" s="21">
        <f>C53+C54</f>
        <v>1341317.7648750001</v>
      </c>
    </row>
    <row r="56" spans="2:3" x14ac:dyDescent="0.25">
      <c r="B56" s="9" t="s">
        <v>50</v>
      </c>
      <c r="C56" s="21">
        <f>-0.38*C55</f>
        <v>-509700.75065250002</v>
      </c>
    </row>
    <row r="57" spans="2:3" x14ac:dyDescent="0.25">
      <c r="B57" s="9" t="s">
        <v>23</v>
      </c>
      <c r="C57" s="21">
        <f>C55+C56</f>
        <v>831617.01422250015</v>
      </c>
    </row>
    <row r="58" spans="2:3" x14ac:dyDescent="0.25">
      <c r="B58" s="9" t="s">
        <v>51</v>
      </c>
      <c r="C58" s="21">
        <f>C56*0.25</f>
        <v>-127425.18766312501</v>
      </c>
    </row>
    <row r="59" spans="2:3" x14ac:dyDescent="0.25">
      <c r="B59" s="9" t="s">
        <v>52</v>
      </c>
      <c r="C59" s="21">
        <f>C57+C58</f>
        <v>704191.82655937516</v>
      </c>
    </row>
    <row r="60" spans="2:3" x14ac:dyDescent="0.25">
      <c r="B60" s="9" t="s">
        <v>53</v>
      </c>
      <c r="C60" s="21">
        <f>C59-C61</f>
        <v>145937.79655937513</v>
      </c>
    </row>
    <row r="61" spans="2:3" x14ac:dyDescent="0.25">
      <c r="B61" s="9" t="s">
        <v>24</v>
      </c>
      <c r="C61" s="12">
        <v>558254.03</v>
      </c>
    </row>
  </sheetData>
  <pageMargins left="0.7" right="0.7" top="0.75" bottom="0.75" header="0.3" footer="0.3"/>
  <pageSetup paperSize="9" orientation="portrait" horizontalDpi="4294967293" r:id="rId1"/>
  <ignoredErrors>
    <ignoredError sqref="C54 C56 C5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CD050-E74A-4A7C-9537-BCC6A3846305}">
  <dimension ref="B2:E13"/>
  <sheetViews>
    <sheetView zoomScale="150" zoomScaleNormal="150" workbookViewId="0">
      <selection activeCell="C13" sqref="C13"/>
    </sheetView>
  </sheetViews>
  <sheetFormatPr defaultRowHeight="15" x14ac:dyDescent="0.25"/>
  <cols>
    <col min="1" max="1" width="8.88671875" style="9"/>
    <col min="2" max="2" width="49.44140625" style="9" customWidth="1"/>
    <col min="3" max="3" width="21" style="9" customWidth="1"/>
    <col min="4" max="16384" width="8.88671875" style="9"/>
  </cols>
  <sheetData>
    <row r="2" spans="2:5" ht="15.6" x14ac:dyDescent="0.25">
      <c r="B2" s="42" t="s">
        <v>66</v>
      </c>
      <c r="C2" s="42"/>
    </row>
    <row r="3" spans="2:5" ht="15.6" x14ac:dyDescent="0.25">
      <c r="B3" s="29" t="s">
        <v>45</v>
      </c>
      <c r="C3" s="1">
        <f>Balancete!E19</f>
        <v>3251679.43</v>
      </c>
    </row>
    <row r="4" spans="2:5" x14ac:dyDescent="0.25">
      <c r="B4" s="17" t="s">
        <v>46</v>
      </c>
      <c r="C4" s="27">
        <f>-Balancete!D20</f>
        <v>-812919.85750000004</v>
      </c>
    </row>
    <row r="5" spans="2:5" ht="15.6" x14ac:dyDescent="0.25">
      <c r="B5" s="29" t="s">
        <v>47</v>
      </c>
      <c r="C5" s="1">
        <f>SUM(C3:C4)</f>
        <v>2438759.5725000002</v>
      </c>
    </row>
    <row r="6" spans="2:5" x14ac:dyDescent="0.25">
      <c r="B6" s="17" t="s">
        <v>48</v>
      </c>
      <c r="C6" s="27">
        <f>-Balancete!D21</f>
        <v>-1097441.8076250001</v>
      </c>
    </row>
    <row r="7" spans="2:5" ht="15.6" x14ac:dyDescent="0.25">
      <c r="B7" s="29" t="s">
        <v>49</v>
      </c>
      <c r="C7" s="1">
        <f>SUM(C5:C6)</f>
        <v>1341317.7648750001</v>
      </c>
    </row>
    <row r="8" spans="2:5" x14ac:dyDescent="0.25">
      <c r="B8" s="17" t="s">
        <v>50</v>
      </c>
      <c r="C8" s="27">
        <f>-Balancete!D22</f>
        <v>-509700.75065250002</v>
      </c>
    </row>
    <row r="9" spans="2:5" ht="15.6" x14ac:dyDescent="0.25">
      <c r="B9" s="29" t="s">
        <v>23</v>
      </c>
      <c r="C9" s="1">
        <f>C7+C8</f>
        <v>831617.01422250015</v>
      </c>
      <c r="E9" s="9" t="s">
        <v>85</v>
      </c>
    </row>
    <row r="10" spans="2:5" x14ac:dyDescent="0.25">
      <c r="B10" s="17" t="s">
        <v>51</v>
      </c>
      <c r="C10" s="27">
        <f>-Balancete!D23</f>
        <v>-127425.18766312501</v>
      </c>
    </row>
    <row r="11" spans="2:5" ht="15.6" x14ac:dyDescent="0.25">
      <c r="B11" s="29" t="s">
        <v>52</v>
      </c>
      <c r="C11" s="1">
        <f>C9+C10</f>
        <v>704191.82655937516</v>
      </c>
    </row>
    <row r="12" spans="2:5" x14ac:dyDescent="0.25">
      <c r="B12" s="17" t="s">
        <v>53</v>
      </c>
      <c r="C12" s="27">
        <f>-Balancete!D24</f>
        <v>-145937.79655937513</v>
      </c>
    </row>
    <row r="13" spans="2:5" ht="15.6" x14ac:dyDescent="0.25">
      <c r="B13" s="29" t="s">
        <v>24</v>
      </c>
      <c r="C13" s="1">
        <f>C11+C12</f>
        <v>558254.03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ignoredErrors>
    <ignoredError sqref="C6 C10:C1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C7DDA-01A0-48E6-A184-DA1E3A48F7C5}">
  <dimension ref="B2:H36"/>
  <sheetViews>
    <sheetView topLeftCell="A15" zoomScale="120" zoomScaleNormal="120" workbookViewId="0">
      <selection activeCell="E28" sqref="E28"/>
    </sheetView>
  </sheetViews>
  <sheetFormatPr defaultColWidth="9.33203125" defaultRowHeight="15" x14ac:dyDescent="0.25"/>
  <cols>
    <col min="1" max="1" width="15.77734375" style="9" customWidth="1"/>
    <col min="2" max="2" width="36" style="9" customWidth="1"/>
    <col min="3" max="5" width="28.109375" style="20" customWidth="1"/>
    <col min="6" max="7" width="9.33203125" style="9"/>
    <col min="8" max="8" width="12.109375" style="9" bestFit="1" customWidth="1"/>
    <col min="9" max="16384" width="9.33203125" style="9"/>
  </cols>
  <sheetData>
    <row r="2" spans="2:7" ht="15.6" x14ac:dyDescent="0.25">
      <c r="B2" s="42" t="s">
        <v>37</v>
      </c>
      <c r="C2" s="42"/>
      <c r="D2" s="42"/>
      <c r="E2" s="42"/>
    </row>
    <row r="3" spans="2:7" ht="15.6" x14ac:dyDescent="0.25">
      <c r="B3" s="30" t="s">
        <v>13</v>
      </c>
      <c r="C3" s="31" t="s">
        <v>12</v>
      </c>
      <c r="D3" s="1" t="s">
        <v>60</v>
      </c>
      <c r="E3" s="1" t="s">
        <v>61</v>
      </c>
    </row>
    <row r="4" spans="2:7" ht="15.6" x14ac:dyDescent="0.25">
      <c r="B4" s="3" t="s">
        <v>14</v>
      </c>
      <c r="C4" s="4">
        <f>SUM(C5:C9)</f>
        <v>627715.12999999989</v>
      </c>
      <c r="D4" s="4">
        <f>SUM(D5:D9)</f>
        <v>-15649.946799999998</v>
      </c>
      <c r="E4" s="4">
        <f>C4+D4</f>
        <v>612065.18319999985</v>
      </c>
    </row>
    <row r="5" spans="2:7" x14ac:dyDescent="0.25">
      <c r="B5" s="5" t="s">
        <v>9</v>
      </c>
      <c r="C5" s="12">
        <f>Balancete!D3</f>
        <v>370126.97</v>
      </c>
      <c r="D5" s="12"/>
      <c r="E5" s="12">
        <f>C5+D5</f>
        <v>370126.97</v>
      </c>
    </row>
    <row r="6" spans="2:7" x14ac:dyDescent="0.25">
      <c r="B6" s="5" t="s">
        <v>21</v>
      </c>
      <c r="C6" s="12">
        <f>Balancete!D4</f>
        <v>230709.12</v>
      </c>
      <c r="D6" s="12">
        <f>-Ajustes!C8</f>
        <v>-23070.912</v>
      </c>
      <c r="E6" s="12">
        <f t="shared" ref="E6:E9" si="0">C6+D6</f>
        <v>207638.20799999998</v>
      </c>
    </row>
    <row r="7" spans="2:7" x14ac:dyDescent="0.25">
      <c r="B7" s="5" t="s">
        <v>28</v>
      </c>
      <c r="C7" s="12">
        <f>Balancete!D5</f>
        <v>16865.830000000002</v>
      </c>
      <c r="D7" s="12">
        <f>Ajustes!C9</f>
        <v>7420.9652000000024</v>
      </c>
      <c r="E7" s="12">
        <f t="shared" si="0"/>
        <v>24286.795200000004</v>
      </c>
    </row>
    <row r="8" spans="2:7" x14ac:dyDescent="0.25">
      <c r="B8" s="5" t="s">
        <v>10</v>
      </c>
      <c r="C8" s="12">
        <f>Balancete!D6</f>
        <v>8790.39</v>
      </c>
      <c r="D8" s="12"/>
      <c r="E8" s="12">
        <f t="shared" si="0"/>
        <v>8790.39</v>
      </c>
    </row>
    <row r="9" spans="2:7" x14ac:dyDescent="0.25">
      <c r="B9" s="5" t="s">
        <v>11</v>
      </c>
      <c r="C9" s="12">
        <f>Balancete!D7</f>
        <v>1222.82</v>
      </c>
      <c r="D9" s="12"/>
      <c r="E9" s="12">
        <f t="shared" si="0"/>
        <v>1222.82</v>
      </c>
      <c r="G9" s="9" t="s">
        <v>85</v>
      </c>
    </row>
    <row r="10" spans="2:7" x14ac:dyDescent="0.25">
      <c r="B10" s="5"/>
      <c r="C10" s="12"/>
      <c r="D10" s="12"/>
      <c r="E10" s="12"/>
    </row>
    <row r="11" spans="2:7" ht="15.6" x14ac:dyDescent="0.25">
      <c r="B11" s="7" t="s">
        <v>15</v>
      </c>
      <c r="C11" s="4">
        <f>SUM(C12:C14)</f>
        <v>1298432.19</v>
      </c>
      <c r="D11" s="4">
        <f>SUM(D12:D14)</f>
        <v>2263831.56</v>
      </c>
      <c r="E11" s="4">
        <f>C11+D11</f>
        <v>3562263.75</v>
      </c>
    </row>
    <row r="12" spans="2:7" x14ac:dyDescent="0.25">
      <c r="B12" s="5" t="s">
        <v>3</v>
      </c>
      <c r="C12" s="12">
        <f>Balancete!D8</f>
        <v>18849.54</v>
      </c>
      <c r="D12" s="12"/>
      <c r="E12" s="12">
        <f>C12+D12</f>
        <v>18849.54</v>
      </c>
    </row>
    <row r="13" spans="2:7" x14ac:dyDescent="0.25">
      <c r="B13" s="5" t="s">
        <v>4</v>
      </c>
      <c r="C13" s="12">
        <f>Balancete!D9</f>
        <v>2122856.59</v>
      </c>
      <c r="D13" s="12">
        <f>Ajustes!C5</f>
        <v>2263831.56</v>
      </c>
      <c r="E13" s="12">
        <f t="shared" ref="E13:E14" si="1">C13+D13</f>
        <v>4386688.1500000004</v>
      </c>
    </row>
    <row r="14" spans="2:7" x14ac:dyDescent="0.25">
      <c r="B14" s="5" t="s">
        <v>5</v>
      </c>
      <c r="C14" s="12">
        <f>-Balancete!E10</f>
        <v>-843273.94</v>
      </c>
      <c r="D14" s="33"/>
      <c r="E14" s="12">
        <f t="shared" si="1"/>
        <v>-843273.94</v>
      </c>
    </row>
    <row r="15" spans="2:7" ht="15.6" x14ac:dyDescent="0.25">
      <c r="B15" s="18" t="s">
        <v>16</v>
      </c>
      <c r="C15" s="1">
        <f>C4+C11</f>
        <v>1926147.3199999998</v>
      </c>
      <c r="D15" s="1">
        <f>D11+D4</f>
        <v>2248181.6132</v>
      </c>
      <c r="E15" s="1">
        <f>E11+E4</f>
        <v>4174328.9331999999</v>
      </c>
    </row>
    <row r="16" spans="2:7" ht="15.6" x14ac:dyDescent="0.25">
      <c r="B16" s="14" t="s">
        <v>13</v>
      </c>
      <c r="C16" s="1" t="s">
        <v>12</v>
      </c>
      <c r="D16" s="1"/>
      <c r="E16" s="1"/>
    </row>
    <row r="17" spans="2:8" ht="15.6" x14ac:dyDescent="0.25">
      <c r="B17" s="2" t="s">
        <v>0</v>
      </c>
      <c r="C17" s="37">
        <f>SUM(C18:C22)</f>
        <v>121638.77000000002</v>
      </c>
      <c r="D17" s="37">
        <f>SUM(D18:D22)</f>
        <v>191066.7</v>
      </c>
      <c r="E17" s="32">
        <f>C17+D17</f>
        <v>312705.47000000003</v>
      </c>
    </row>
    <row r="18" spans="2:8" x14ac:dyDescent="0.25">
      <c r="B18" s="6" t="s">
        <v>2</v>
      </c>
      <c r="C18" s="36">
        <f>Balancete!E11</f>
        <v>57476.22</v>
      </c>
      <c r="D18" s="12"/>
      <c r="E18" s="12">
        <f>C18+D18</f>
        <v>57476.22</v>
      </c>
    </row>
    <row r="19" spans="2:8" x14ac:dyDescent="0.25">
      <c r="B19" s="6" t="s">
        <v>26</v>
      </c>
      <c r="C19" s="36">
        <f>Balancete!E12</f>
        <v>17157.05</v>
      </c>
      <c r="D19" s="12"/>
      <c r="E19" s="12">
        <f t="shared" ref="E19:E22" si="2">C19+D19</f>
        <v>17157.05</v>
      </c>
    </row>
    <row r="20" spans="2:8" x14ac:dyDescent="0.25">
      <c r="B20" s="6" t="s">
        <v>25</v>
      </c>
      <c r="C20" s="36">
        <f>Balancete!E13</f>
        <v>12814.52</v>
      </c>
      <c r="D20" s="12"/>
      <c r="E20" s="12">
        <f t="shared" si="2"/>
        <v>12814.52</v>
      </c>
    </row>
    <row r="21" spans="2:8" x14ac:dyDescent="0.25">
      <c r="B21" s="6" t="s">
        <v>27</v>
      </c>
      <c r="C21" s="36">
        <f>Balancete!E14</f>
        <v>34190.980000000003</v>
      </c>
      <c r="D21" s="12"/>
      <c r="E21" s="12">
        <f t="shared" si="2"/>
        <v>34190.980000000003</v>
      </c>
    </row>
    <row r="22" spans="2:8" x14ac:dyDescent="0.25">
      <c r="B22" s="6" t="s">
        <v>67</v>
      </c>
      <c r="C22" s="36"/>
      <c r="D22" s="12">
        <f>Ajustes!C4</f>
        <v>191066.7</v>
      </c>
      <c r="E22" s="12">
        <f t="shared" si="2"/>
        <v>191066.7</v>
      </c>
    </row>
    <row r="23" spans="2:8" ht="15.6" x14ac:dyDescent="0.25">
      <c r="B23" s="2"/>
      <c r="C23" s="37"/>
      <c r="D23" s="4"/>
      <c r="E23" s="4"/>
    </row>
    <row r="24" spans="2:8" ht="15.6" x14ac:dyDescent="0.25">
      <c r="B24" s="2" t="s">
        <v>1</v>
      </c>
      <c r="C24" s="37">
        <f>C25+C26</f>
        <v>56742.33</v>
      </c>
      <c r="D24" s="37">
        <f>D25+D26</f>
        <v>0</v>
      </c>
      <c r="E24" s="4">
        <f>C24+D24</f>
        <v>56742.33</v>
      </c>
    </row>
    <row r="25" spans="2:8" x14ac:dyDescent="0.25">
      <c r="B25" s="6" t="s">
        <v>36</v>
      </c>
      <c r="C25" s="36">
        <f>Balancete!E15</f>
        <v>73207.990000000005</v>
      </c>
      <c r="D25" s="12">
        <f>Ajustes!C6</f>
        <v>-16465.66</v>
      </c>
      <c r="E25" s="12">
        <f>C25+D25</f>
        <v>56742.33</v>
      </c>
    </row>
    <row r="26" spans="2:8" x14ac:dyDescent="0.25">
      <c r="B26" s="6" t="s">
        <v>38</v>
      </c>
      <c r="C26" s="36">
        <f>-Balancete!D16</f>
        <v>-16465.66</v>
      </c>
      <c r="D26" s="12">
        <f>Ajustes!C7</f>
        <v>16465.66</v>
      </c>
      <c r="E26" s="12">
        <f>C26+D26</f>
        <v>0</v>
      </c>
    </row>
    <row r="27" spans="2:8" x14ac:dyDescent="0.25">
      <c r="B27" s="6"/>
      <c r="C27" s="36"/>
      <c r="D27" s="12"/>
      <c r="E27" s="12"/>
      <c r="H27" s="20"/>
    </row>
    <row r="28" spans="2:8" ht="15.6" x14ac:dyDescent="0.25">
      <c r="B28" s="2" t="s">
        <v>17</v>
      </c>
      <c r="C28" s="37">
        <f>SUM(C29:C33)</f>
        <v>1747766.22</v>
      </c>
      <c r="D28" s="37">
        <f>SUM(D29:D33)</f>
        <v>2057114.9132000001</v>
      </c>
      <c r="E28" s="4">
        <f>C28+D28</f>
        <v>3804881.1332</v>
      </c>
    </row>
    <row r="29" spans="2:8" x14ac:dyDescent="0.25">
      <c r="B29" s="6" t="s">
        <v>18</v>
      </c>
      <c r="C29" s="36">
        <f>Balancete!E17</f>
        <v>2000000</v>
      </c>
      <c r="D29" s="12"/>
      <c r="E29" s="12">
        <f>C29+D29</f>
        <v>2000000</v>
      </c>
    </row>
    <row r="30" spans="2:8" x14ac:dyDescent="0.25">
      <c r="B30" s="6" t="s">
        <v>19</v>
      </c>
      <c r="C30" s="36">
        <f>-Balancete!D18</f>
        <v>-810487.81</v>
      </c>
      <c r="D30" s="12"/>
      <c r="E30" s="12">
        <f t="shared" ref="E30:E33" si="3">C30+D30</f>
        <v>-810487.81</v>
      </c>
    </row>
    <row r="31" spans="2:8" x14ac:dyDescent="0.25">
      <c r="B31" s="6" t="s">
        <v>59</v>
      </c>
      <c r="C31" s="36">
        <f>DRE!C13</f>
        <v>558254.03</v>
      </c>
      <c r="D31" s="12"/>
      <c r="E31" s="12">
        <f t="shared" si="3"/>
        <v>558254.03</v>
      </c>
    </row>
    <row r="32" spans="2:8" x14ac:dyDescent="0.25">
      <c r="B32" s="6" t="s">
        <v>64</v>
      </c>
      <c r="C32" s="36"/>
      <c r="D32" s="12">
        <f>D13+D6+D7</f>
        <v>2248181.6132</v>
      </c>
      <c r="E32" s="12">
        <f t="shared" si="3"/>
        <v>2248181.6132</v>
      </c>
    </row>
    <row r="33" spans="2:5" x14ac:dyDescent="0.25">
      <c r="B33" s="6" t="s">
        <v>65</v>
      </c>
      <c r="C33" s="36"/>
      <c r="D33" s="33">
        <f>-Ajustes!C4</f>
        <v>-191066.7</v>
      </c>
      <c r="E33" s="12">
        <f t="shared" si="3"/>
        <v>-191066.7</v>
      </c>
    </row>
    <row r="34" spans="2:5" ht="15.6" x14ac:dyDescent="0.25">
      <c r="B34" s="18" t="s">
        <v>20</v>
      </c>
      <c r="C34" s="1">
        <f>C17+C28+C24</f>
        <v>1926147.32</v>
      </c>
      <c r="D34" s="1">
        <f>D17+D28+D24</f>
        <v>2248181.6132</v>
      </c>
      <c r="E34" s="1">
        <f>E17+E24+E28</f>
        <v>4174328.9331999999</v>
      </c>
    </row>
    <row r="36" spans="2:5" x14ac:dyDescent="0.25">
      <c r="C36" s="21">
        <f>C15-C34</f>
        <v>0</v>
      </c>
      <c r="D36" s="21">
        <f>D15-D34</f>
        <v>0</v>
      </c>
      <c r="E36" s="21">
        <f>E15-E34</f>
        <v>0</v>
      </c>
    </row>
  </sheetData>
  <mergeCells count="1">
    <mergeCell ref="B2:E2"/>
  </mergeCells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1A68B-B554-452E-90B8-DD60018FF1FF}">
  <dimension ref="B2:D25"/>
  <sheetViews>
    <sheetView zoomScale="120" zoomScaleNormal="120" workbookViewId="0">
      <selection activeCell="C9" sqref="C9"/>
    </sheetView>
  </sheetViews>
  <sheetFormatPr defaultRowHeight="15" x14ac:dyDescent="0.25"/>
  <cols>
    <col min="1" max="1" width="8.88671875" style="9"/>
    <col min="2" max="2" width="25.77734375" style="9" customWidth="1"/>
    <col min="3" max="3" width="17.6640625" style="9" bestFit="1" customWidth="1"/>
    <col min="4" max="4" width="14.5546875" style="9" customWidth="1"/>
    <col min="5" max="5" width="36.109375" style="9" bestFit="1" customWidth="1"/>
    <col min="6" max="16384" width="8.88671875" style="9"/>
  </cols>
  <sheetData>
    <row r="2" spans="2:4" ht="15.6" x14ac:dyDescent="0.25">
      <c r="B2" s="42" t="s">
        <v>60</v>
      </c>
      <c r="C2" s="42"/>
      <c r="D2" s="42"/>
    </row>
    <row r="3" spans="2:4" ht="15.6" x14ac:dyDescent="0.25">
      <c r="B3" s="19" t="s">
        <v>70</v>
      </c>
      <c r="C3" s="19" t="s">
        <v>71</v>
      </c>
      <c r="D3" s="19" t="s">
        <v>72</v>
      </c>
    </row>
    <row r="4" spans="2:4" x14ac:dyDescent="0.25">
      <c r="B4" s="17" t="s">
        <v>67</v>
      </c>
      <c r="C4" s="35">
        <v>191066.7</v>
      </c>
      <c r="D4" s="28" t="s">
        <v>69</v>
      </c>
    </row>
    <row r="5" spans="2:4" x14ac:dyDescent="0.25">
      <c r="B5" s="17" t="s">
        <v>68</v>
      </c>
      <c r="C5" s="35">
        <f>3270000-(1798044.39-791875.95)</f>
        <v>2263831.56</v>
      </c>
      <c r="D5" s="28" t="s">
        <v>73</v>
      </c>
    </row>
    <row r="6" spans="2:4" x14ac:dyDescent="0.25">
      <c r="B6" s="17" t="s">
        <v>36</v>
      </c>
      <c r="C6" s="27">
        <f>Balanço!C26</f>
        <v>-16465.66</v>
      </c>
      <c r="D6" s="28" t="s">
        <v>69</v>
      </c>
    </row>
    <row r="7" spans="2:4" x14ac:dyDescent="0.25">
      <c r="B7" s="17" t="s">
        <v>40</v>
      </c>
      <c r="C7" s="27">
        <f>-C6</f>
        <v>16465.66</v>
      </c>
      <c r="D7" s="28" t="s">
        <v>69</v>
      </c>
    </row>
    <row r="8" spans="2:4" x14ac:dyDescent="0.25">
      <c r="B8" s="17" t="s">
        <v>74</v>
      </c>
      <c r="C8" s="27">
        <f>0.1*Balanço!C6</f>
        <v>23070.912</v>
      </c>
      <c r="D8" s="28" t="s">
        <v>73</v>
      </c>
    </row>
    <row r="9" spans="2:4" x14ac:dyDescent="0.25">
      <c r="B9" s="17" t="s">
        <v>28</v>
      </c>
      <c r="C9" s="27">
        <f>(Balanço!C7*1.8*0.8)-Balanço!C7</f>
        <v>7420.9652000000024</v>
      </c>
      <c r="D9" s="28" t="s">
        <v>73</v>
      </c>
    </row>
    <row r="10" spans="2:4" x14ac:dyDescent="0.25">
      <c r="B10" s="17"/>
      <c r="C10" s="17"/>
      <c r="D10" s="17"/>
    </row>
    <row r="13" spans="2:4" x14ac:dyDescent="0.25">
      <c r="B13" s="9" t="s">
        <v>75</v>
      </c>
      <c r="C13" s="38">
        <v>1798044.39</v>
      </c>
    </row>
    <row r="14" spans="2:4" x14ac:dyDescent="0.25">
      <c r="B14" s="9" t="s">
        <v>76</v>
      </c>
      <c r="C14" s="38">
        <v>-791875.9</v>
      </c>
    </row>
    <row r="15" spans="2:4" ht="15.6" x14ac:dyDescent="0.25">
      <c r="B15" s="39" t="s">
        <v>77</v>
      </c>
      <c r="C15" s="40">
        <f>C13+C14</f>
        <v>1006168.4899999999</v>
      </c>
    </row>
    <row r="16" spans="2:4" x14ac:dyDescent="0.25">
      <c r="B16" s="9" t="s">
        <v>78</v>
      </c>
      <c r="C16" s="38">
        <v>3270000</v>
      </c>
    </row>
    <row r="17" spans="2:4" ht="15.6" x14ac:dyDescent="0.25">
      <c r="B17" s="39" t="s">
        <v>79</v>
      </c>
      <c r="C17" s="40">
        <f>C16-C15</f>
        <v>2263831.5100000002</v>
      </c>
    </row>
    <row r="19" spans="2:4" x14ac:dyDescent="0.25">
      <c r="B19" s="9" t="s">
        <v>80</v>
      </c>
      <c r="C19" s="38">
        <f>Balanço!C25/((1+1.35%)^19)</f>
        <v>56742.33134395333</v>
      </c>
      <c r="D19" s="9" t="str">
        <f ca="1">_xlfn.FORMULATEXT(C19)</f>
        <v>=Balanço!C25/((1+1,35%)^19)</v>
      </c>
    </row>
    <row r="21" spans="2:4" x14ac:dyDescent="0.25">
      <c r="B21" s="9" t="s">
        <v>81</v>
      </c>
      <c r="C21" s="21">
        <f>Balanço!C7</f>
        <v>16865.830000000002</v>
      </c>
    </row>
    <row r="22" spans="2:4" x14ac:dyDescent="0.25">
      <c r="B22" s="9" t="s">
        <v>82</v>
      </c>
      <c r="C22" s="21">
        <f>C21*1.8</f>
        <v>30358.494000000002</v>
      </c>
    </row>
    <row r="23" spans="2:4" x14ac:dyDescent="0.25">
      <c r="B23" s="9" t="s">
        <v>83</v>
      </c>
      <c r="C23" s="21">
        <f>-0.2*C22</f>
        <v>-6071.698800000001</v>
      </c>
    </row>
    <row r="24" spans="2:4" x14ac:dyDescent="0.25">
      <c r="B24" s="9" t="s">
        <v>84</v>
      </c>
      <c r="C24" s="21">
        <f>C22+C23</f>
        <v>24286.7952</v>
      </c>
    </row>
    <row r="25" spans="2:4" ht="15.6" x14ac:dyDescent="0.25">
      <c r="B25" s="39" t="s">
        <v>79</v>
      </c>
      <c r="C25" s="41">
        <f>C24-C21</f>
        <v>7420.9651999999987</v>
      </c>
    </row>
  </sheetData>
  <mergeCells count="1">
    <mergeCell ref="B2:D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B5A21-A8A6-43FF-BB5D-2C42E8A7C490}">
  <dimension ref="B2:C6"/>
  <sheetViews>
    <sheetView tabSelected="1" zoomScale="130" zoomScaleNormal="130" workbookViewId="0">
      <selection activeCell="B15" sqref="B15"/>
    </sheetView>
  </sheetViews>
  <sheetFormatPr defaultColWidth="9.33203125" defaultRowHeight="15" x14ac:dyDescent="0.25"/>
  <cols>
    <col min="1" max="1" width="9.33203125" style="9"/>
    <col min="2" max="2" width="64.33203125" style="9" bestFit="1" customWidth="1"/>
    <col min="3" max="3" width="29.77734375" style="9" bestFit="1" customWidth="1"/>
    <col min="4" max="16384" width="9.33203125" style="9"/>
  </cols>
  <sheetData>
    <row r="2" spans="2:3" ht="15.6" x14ac:dyDescent="0.25">
      <c r="B2" s="43" t="s">
        <v>7</v>
      </c>
      <c r="C2" s="44"/>
    </row>
    <row r="3" spans="2:3" x14ac:dyDescent="0.25">
      <c r="B3" s="8" t="s">
        <v>86</v>
      </c>
      <c r="C3" s="34" t="s">
        <v>62</v>
      </c>
    </row>
    <row r="4" spans="2:3" x14ac:dyDescent="0.25">
      <c r="B4" s="8" t="s">
        <v>8</v>
      </c>
      <c r="C4" s="11">
        <v>0.35</v>
      </c>
    </row>
    <row r="5" spans="2:3" x14ac:dyDescent="0.25">
      <c r="B5" s="8" t="s">
        <v>63</v>
      </c>
      <c r="C5" s="12">
        <f>Balanço!E28</f>
        <v>3804881.1332</v>
      </c>
    </row>
    <row r="6" spans="2:3" ht="15.6" x14ac:dyDescent="0.25">
      <c r="B6" s="10" t="s">
        <v>6</v>
      </c>
      <c r="C6" s="13">
        <f>C4*C5</f>
        <v>1331708.39662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Balancete</vt:lpstr>
      <vt:lpstr>DRE</vt:lpstr>
      <vt:lpstr>Balanço</vt:lpstr>
      <vt:lpstr>Ajustes</vt:lpstr>
      <vt:lpstr>Haveres do sócio retirante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FUMAUX</dc:creator>
  <cp:lastModifiedBy>ANDERSON FUMAUX</cp:lastModifiedBy>
  <dcterms:created xsi:type="dcterms:W3CDTF">2021-11-03T15:48:31Z</dcterms:created>
  <dcterms:modified xsi:type="dcterms:W3CDTF">2026-09-03T19:50:38Z</dcterms:modified>
</cp:coreProperties>
</file>