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a07f16b4e5c3260/Área de Trabalho/ANDERSON/PÓS/BSSP/MBA PERÍCIA CONTÁBIL, ECONÔMICA E FINANCEIRA/T08/AVALIAÇÃO DE EMPRESAS E APURAÇÃO DE HAVERES/"/>
    </mc:Choice>
  </mc:AlternateContent>
  <xr:revisionPtr revIDLastSave="643" documentId="8_{7F719A75-FCD9-4505-832F-E751B77E289A}" xr6:coauthVersionLast="47" xr6:coauthVersionMax="47" xr10:uidLastSave="{DFE006B0-9914-432F-84F1-112FB5AE047F}"/>
  <bookViews>
    <workbookView xWindow="-24120" yWindow="-120" windowWidth="24240" windowHeight="13140" tabRatio="843" activeTab="10" xr2:uid="{CEBF7AD8-6D0A-4B2D-9037-D7A401D244E8}"/>
  </bookViews>
  <sheets>
    <sheet name="FC Livre" sheetId="1" r:id="rId1"/>
    <sheet name="Perpetuidade" sheetId="2" r:id="rId2"/>
    <sheet name="Atividade 1" sheetId="3" r:id="rId3"/>
    <sheet name="Atividade 2" sheetId="4" r:id="rId4"/>
    <sheet name="CT" sheetId="5" r:id="rId5"/>
    <sheet name="Beta Desalavancado" sheetId="6" r:id="rId6"/>
    <sheet name="Atividade 3" sheetId="7" r:id="rId7"/>
    <sheet name="Atividade 4" sheetId="8" r:id="rId8"/>
    <sheet name="Atividade 5" sheetId="9" r:id="rId9"/>
    <sheet name="Atividade 6" sheetId="10" r:id="rId10"/>
    <sheet name="Atividade 7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6" i="11" l="1"/>
  <c r="D15" i="11"/>
  <c r="C15" i="11"/>
  <c r="C7" i="9"/>
  <c r="C6" i="9"/>
  <c r="C7" i="8"/>
  <c r="C10" i="8" s="1"/>
  <c r="C14" i="6"/>
  <c r="C9" i="5"/>
  <c r="C6" i="5"/>
  <c r="C8" i="2"/>
  <c r="C7" i="2"/>
  <c r="C11" i="2"/>
  <c r="D10" i="2"/>
  <c r="C10" i="2"/>
  <c r="F8" i="4"/>
  <c r="C11" i="4"/>
  <c r="F4" i="4"/>
  <c r="F3" i="4"/>
  <c r="C10" i="4"/>
  <c r="C9" i="4"/>
  <c r="I4" i="1"/>
  <c r="I3" i="1"/>
  <c r="F11" i="1"/>
  <c r="C5" i="1"/>
  <c r="C11" i="1" s="1"/>
  <c r="F5" i="1"/>
  <c r="F10" i="1" s="1"/>
  <c r="F13" i="1"/>
  <c r="C16" i="11"/>
  <c r="C13" i="11"/>
  <c r="C12" i="11"/>
  <c r="D6" i="11"/>
  <c r="D7" i="11"/>
  <c r="D5" i="11"/>
  <c r="D8" i="11" s="1"/>
  <c r="C8" i="11"/>
  <c r="C17" i="10"/>
  <c r="C15" i="10"/>
  <c r="C13" i="10"/>
  <c r="C12" i="10"/>
  <c r="F12" i="1" l="1"/>
  <c r="F16" i="1" s="1"/>
  <c r="C12" i="1"/>
  <c r="C13" i="1" s="1"/>
  <c r="D6" i="9"/>
  <c r="C18" i="9"/>
  <c r="C17" i="9"/>
  <c r="C16" i="9"/>
  <c r="C15" i="9"/>
  <c r="C14" i="9"/>
  <c r="D11" i="9"/>
  <c r="C11" i="9"/>
  <c r="C8" i="9"/>
  <c r="C9" i="9" s="1"/>
  <c r="C4" i="9"/>
  <c r="D4" i="9" s="1"/>
  <c r="D5" i="9"/>
  <c r="D7" i="9" s="1"/>
  <c r="C5" i="9"/>
  <c r="C8" i="8"/>
  <c r="F4" i="8"/>
  <c r="F5" i="8"/>
  <c r="F3" i="8"/>
  <c r="F7" i="7"/>
  <c r="F4" i="7"/>
  <c r="F3" i="7"/>
  <c r="F6" i="7"/>
  <c r="F5" i="7"/>
  <c r="F4" i="6"/>
  <c r="F5" i="6"/>
  <c r="F6" i="6"/>
  <c r="F7" i="6"/>
  <c r="F8" i="6"/>
  <c r="F3" i="6"/>
  <c r="F2" i="5"/>
  <c r="C4" i="5"/>
  <c r="C8" i="5" s="1"/>
  <c r="F7" i="4"/>
  <c r="F6" i="4"/>
  <c r="F5" i="4"/>
  <c r="G7" i="4"/>
  <c r="G6" i="4"/>
  <c r="H6" i="4" s="1"/>
  <c r="G5" i="4"/>
  <c r="G4" i="4"/>
  <c r="H4" i="4" s="1"/>
  <c r="G3" i="4"/>
  <c r="H3" i="4" s="1"/>
  <c r="H5" i="4"/>
  <c r="C2" i="4"/>
  <c r="D10" i="3"/>
  <c r="D172" i="2"/>
  <c r="C118" i="2"/>
  <c r="D118" i="2" s="1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C100" i="2"/>
  <c r="C101" i="2" s="1"/>
  <c r="C102" i="2" s="1"/>
  <c r="C103" i="2" s="1"/>
  <c r="C104" i="2" s="1"/>
  <c r="C105" i="2" s="1"/>
  <c r="C106" i="2" s="1"/>
  <c r="C107" i="2" s="1"/>
  <c r="C108" i="2" s="1"/>
  <c r="C109" i="2" s="1"/>
  <c r="C110" i="2" s="1"/>
  <c r="C111" i="2" s="1"/>
  <c r="C112" i="2" s="1"/>
  <c r="C113" i="2" s="1"/>
  <c r="C114" i="2" s="1"/>
  <c r="C115" i="2" s="1"/>
  <c r="C116" i="2" s="1"/>
  <c r="C117" i="2" s="1"/>
  <c r="C12" i="2"/>
  <c r="C13" i="2"/>
  <c r="C14" i="2" s="1"/>
  <c r="C15" i="2" s="1"/>
  <c r="C16" i="2" s="1"/>
  <c r="C17" i="2" s="1"/>
  <c r="C18" i="2" s="1"/>
  <c r="C19" i="2" s="1"/>
  <c r="C20" i="2" s="1"/>
  <c r="C21" i="2" s="1"/>
  <c r="C22" i="2" s="1"/>
  <c r="C23" i="2" s="1"/>
  <c r="C24" i="2" s="1"/>
  <c r="C25" i="2" s="1"/>
  <c r="C26" i="2" s="1"/>
  <c r="C27" i="2" s="1"/>
  <c r="C28" i="2" s="1"/>
  <c r="C29" i="2" s="1"/>
  <c r="C30" i="2" s="1"/>
  <c r="C31" i="2" s="1"/>
  <c r="C32" i="2" s="1"/>
  <c r="C33" i="2" s="1"/>
  <c r="C34" i="2" s="1"/>
  <c r="C35" i="2" s="1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C54" i="2" s="1"/>
  <c r="C55" i="2" s="1"/>
  <c r="C56" i="2" s="1"/>
  <c r="C57" i="2" s="1"/>
  <c r="C58" i="2" s="1"/>
  <c r="C59" i="2" s="1"/>
  <c r="C60" i="2" s="1"/>
  <c r="C61" i="2" s="1"/>
  <c r="C62" i="2" s="1"/>
  <c r="C63" i="2" s="1"/>
  <c r="C64" i="2" s="1"/>
  <c r="C65" i="2" s="1"/>
  <c r="C66" i="2" s="1"/>
  <c r="C67" i="2" s="1"/>
  <c r="C68" i="2" s="1"/>
  <c r="C69" i="2" s="1"/>
  <c r="C70" i="2" s="1"/>
  <c r="C71" i="2" s="1"/>
  <c r="C72" i="2" s="1"/>
  <c r="C73" i="2" s="1"/>
  <c r="C74" i="2" s="1"/>
  <c r="C75" i="2" s="1"/>
  <c r="C76" i="2" s="1"/>
  <c r="C77" i="2" s="1"/>
  <c r="C78" i="2" s="1"/>
  <c r="C79" i="2" s="1"/>
  <c r="C80" i="2" s="1"/>
  <c r="C81" i="2" s="1"/>
  <c r="C82" i="2" s="1"/>
  <c r="C83" i="2" s="1"/>
  <c r="C84" i="2" s="1"/>
  <c r="C85" i="2" s="1"/>
  <c r="C86" i="2" s="1"/>
  <c r="C87" i="2" s="1"/>
  <c r="C88" i="2" s="1"/>
  <c r="C89" i="2" s="1"/>
  <c r="C90" i="2" s="1"/>
  <c r="C91" i="2" s="1"/>
  <c r="C92" i="2" s="1"/>
  <c r="C93" i="2" s="1"/>
  <c r="C94" i="2" s="1"/>
  <c r="C95" i="2" s="1"/>
  <c r="C96" i="2" s="1"/>
  <c r="C97" i="2" s="1"/>
  <c r="C98" i="2" s="1"/>
  <c r="C99" i="2" s="1"/>
  <c r="G7" i="7"/>
  <c r="G6" i="7"/>
  <c r="G3" i="7"/>
  <c r="G5" i="8"/>
  <c r="G4" i="8"/>
  <c r="G5" i="7"/>
  <c r="D7" i="8"/>
  <c r="G4" i="6"/>
  <c r="D8" i="8"/>
  <c r="G5" i="6"/>
  <c r="G3" i="6"/>
  <c r="G7" i="6"/>
  <c r="D10" i="8"/>
  <c r="G8" i="6"/>
  <c r="D11" i="4"/>
  <c r="G4" i="7"/>
  <c r="D14" i="6"/>
  <c r="G3" i="8"/>
  <c r="G6" i="6"/>
  <c r="D8" i="9" l="1"/>
  <c r="D9" i="9" s="1"/>
  <c r="H7" i="4"/>
  <c r="H8" i="4" s="1"/>
  <c r="C119" i="2"/>
  <c r="D119" i="2" l="1"/>
  <c r="C120" i="2"/>
  <c r="D120" i="2" l="1"/>
  <c r="C121" i="2"/>
  <c r="C122" i="2" l="1"/>
  <c r="D121" i="2"/>
  <c r="D122" i="2" l="1"/>
  <c r="C123" i="2"/>
  <c r="D123" i="2" l="1"/>
  <c r="C124" i="2"/>
  <c r="D124" i="2" l="1"/>
  <c r="C125" i="2"/>
  <c r="C126" i="2" l="1"/>
  <c r="D125" i="2"/>
  <c r="D126" i="2" l="1"/>
  <c r="C127" i="2"/>
  <c r="D127" i="2" l="1"/>
  <c r="C128" i="2"/>
  <c r="D128" i="2" l="1"/>
  <c r="C129" i="2"/>
  <c r="C130" i="2" l="1"/>
  <c r="D129" i="2"/>
  <c r="D130" i="2" l="1"/>
  <c r="C131" i="2"/>
  <c r="D131" i="2" l="1"/>
  <c r="C132" i="2"/>
  <c r="D132" i="2" l="1"/>
  <c r="C133" i="2"/>
  <c r="C134" i="2" l="1"/>
  <c r="D133" i="2"/>
  <c r="D134" i="2" l="1"/>
  <c r="C135" i="2"/>
  <c r="D135" i="2" l="1"/>
  <c r="C136" i="2"/>
  <c r="D136" i="2" l="1"/>
  <c r="C137" i="2"/>
  <c r="C138" i="2" l="1"/>
  <c r="D137" i="2"/>
  <c r="D138" i="2" l="1"/>
  <c r="C139" i="2"/>
  <c r="D139" i="2" l="1"/>
  <c r="C140" i="2"/>
  <c r="D140" i="2" l="1"/>
  <c r="C141" i="2"/>
  <c r="C142" i="2" l="1"/>
  <c r="D141" i="2"/>
  <c r="D142" i="2" l="1"/>
  <c r="C143" i="2"/>
  <c r="D143" i="2" l="1"/>
  <c r="C144" i="2"/>
  <c r="D144" i="2" l="1"/>
  <c r="C145" i="2"/>
  <c r="C146" i="2" l="1"/>
  <c r="D145" i="2"/>
  <c r="D146" i="2" l="1"/>
  <c r="C147" i="2"/>
  <c r="D147" i="2" l="1"/>
  <c r="C148" i="2"/>
  <c r="D148" i="2" l="1"/>
  <c r="C149" i="2"/>
  <c r="C150" i="2" l="1"/>
  <c r="D149" i="2"/>
  <c r="D150" i="2" l="1"/>
  <c r="C151" i="2"/>
  <c r="D151" i="2" l="1"/>
  <c r="C152" i="2"/>
  <c r="D152" i="2" l="1"/>
  <c r="C153" i="2"/>
  <c r="C154" i="2" l="1"/>
  <c r="D153" i="2"/>
  <c r="D154" i="2" l="1"/>
  <c r="C155" i="2"/>
  <c r="D155" i="2" l="1"/>
  <c r="C156" i="2"/>
  <c r="D156" i="2" l="1"/>
  <c r="C157" i="2"/>
  <c r="C158" i="2" l="1"/>
  <c r="D157" i="2"/>
  <c r="D158" i="2" l="1"/>
  <c r="C159" i="2"/>
  <c r="D159" i="2" l="1"/>
  <c r="C160" i="2"/>
  <c r="D160" i="2" l="1"/>
  <c r="C161" i="2"/>
  <c r="C162" i="2" l="1"/>
  <c r="D161" i="2"/>
  <c r="D162" i="2" l="1"/>
  <c r="C163" i="2"/>
  <c r="D163" i="2" l="1"/>
  <c r="C164" i="2"/>
  <c r="D164" i="2" l="1"/>
  <c r="C165" i="2"/>
  <c r="C166" i="2" l="1"/>
  <c r="D165" i="2"/>
  <c r="D166" i="2" l="1"/>
  <c r="C167" i="2"/>
  <c r="D167" i="2" l="1"/>
  <c r="C168" i="2"/>
  <c r="D168" i="2" l="1"/>
  <c r="C169" i="2"/>
  <c r="C170" i="2" l="1"/>
  <c r="D169" i="2"/>
  <c r="D170" i="2" l="1"/>
  <c r="C171" i="2"/>
  <c r="D171" i="2" s="1"/>
  <c r="I7" i="1" l="1"/>
</calcChain>
</file>

<file path=xl/sharedStrings.xml><?xml version="1.0" encoding="utf-8"?>
<sst xmlns="http://schemas.openxmlformats.org/spreadsheetml/2006/main" count="178" uniqueCount="148">
  <si>
    <t>FLUXO DE CAIXA LIVRE X2</t>
  </si>
  <si>
    <t>Receita Líquida de Vendas</t>
  </si>
  <si>
    <t>(-) Custo dos Produtos Vendidos</t>
  </si>
  <si>
    <t>Lucro Bruto</t>
  </si>
  <si>
    <t>(-) Despesas Operacionais</t>
  </si>
  <si>
    <t>Despesas com salários</t>
  </si>
  <si>
    <t>Despesas com aluguel</t>
  </si>
  <si>
    <t>Despesas com depreciação</t>
  </si>
  <si>
    <t>(-) IR/CSLL (34%)</t>
  </si>
  <si>
    <t>Resultado operacional após o IR/CSLL</t>
  </si>
  <si>
    <t>(+) Depreciação</t>
  </si>
  <si>
    <t>(-) Investimento em CAPEX</t>
  </si>
  <si>
    <t>Fluxo de caixa livre</t>
  </si>
  <si>
    <t>(-) IR/CSLL sobre resultado operacional (34%)</t>
  </si>
  <si>
    <t>EBTIDA</t>
  </si>
  <si>
    <t>DEMONSTRAÇÃO DO RESULTADO X2</t>
  </si>
  <si>
    <t>Despesas Financeiras</t>
  </si>
  <si>
    <t>Lucro antes do IR/CSLL</t>
  </si>
  <si>
    <t>Lucro líquido</t>
  </si>
  <si>
    <t>(-) IR/CSLL sobre EBIT</t>
  </si>
  <si>
    <t>(-) Necessidade de capital de giro</t>
  </si>
  <si>
    <t>Perpetuidade = Último ano Período Explícito × (1 + g) / (WACC – g)</t>
  </si>
  <si>
    <t>FC ano 5</t>
  </si>
  <si>
    <t>Taxa (g)</t>
  </si>
  <si>
    <t>WACC</t>
  </si>
  <si>
    <t>Perpetuidade</t>
  </si>
  <si>
    <t>Ano 5</t>
  </si>
  <si>
    <t>VP Perpetuidade</t>
  </si>
  <si>
    <t>Ajuste</t>
  </si>
  <si>
    <t>Sinal</t>
  </si>
  <si>
    <t>Valor (R$ mil)</t>
  </si>
  <si>
    <t>Raciocínio</t>
  </si>
  <si>
    <t>1. Pró-labore excessivo</t>
  </si>
  <si>
    <t>SOMA (+)</t>
  </si>
  <si>
    <t>Despesa R$ 480k acima do mercado foi subtraída do EBITDA; deve ser devolvida</t>
  </si>
  <si>
    <t>2. Reforma não recorrente</t>
  </si>
  <si>
    <t>Despesa que não se repetirá; inflou custos do período, não reflete recorrência</t>
  </si>
  <si>
    <t>3. Aluguel abaixo do mercado</t>
  </si>
  <si>
    <t>SUBTRAI (–)</t>
  </si>
  <si>
    <t>Empresa 'economizou' R$ 310k vs. mercado; um comprador pagaria mais → EBITDA cai</t>
  </si>
  <si>
    <t>4. Despesas pessoais</t>
  </si>
  <si>
    <t>Não são despesas do negócio; retirá-las aumenta o EBITDA recorrente</t>
  </si>
  <si>
    <t>5. Receita de venda de veículo</t>
  </si>
  <si>
    <t>Receita não recorrente; inflou o EBITDA do período</t>
  </si>
  <si>
    <t>EBITDA NORMALIZADO</t>
  </si>
  <si>
    <t>EBITDA apresentado</t>
  </si>
  <si>
    <t>Etapa</t>
  </si>
  <si>
    <t>Cálculo</t>
  </si>
  <si>
    <t>Resultado (R$ mil)</t>
  </si>
  <si>
    <t>EBIT</t>
  </si>
  <si>
    <t>IR sobre EBIT</t>
  </si>
  <si>
    <t>Depreciação e Amortização</t>
  </si>
  <si>
    <t>CAPEX</t>
  </si>
  <si>
    <t>NCG</t>
  </si>
  <si>
    <t>Alíquota</t>
  </si>
  <si>
    <t>Crescimento período explícito</t>
  </si>
  <si>
    <t>Ano</t>
  </si>
  <si>
    <t>Fator VP</t>
  </si>
  <si>
    <t>FCL ano-base</t>
  </si>
  <si>
    <t>FCL (R$ mil)</t>
  </si>
  <si>
    <t>VP FCL (anos 1–5)</t>
  </si>
  <si>
    <t>VP do FCL (R$ mil)</t>
  </si>
  <si>
    <t>VP = VF / (1 + i)^n</t>
  </si>
  <si>
    <t>Empréstimo</t>
  </si>
  <si>
    <t>Taxa de juros</t>
  </si>
  <si>
    <t>Despesa financeira</t>
  </si>
  <si>
    <t>Alíquota IR/CSLL</t>
  </si>
  <si>
    <t>Economia IR/CSLL</t>
  </si>
  <si>
    <t>Custo efetivo (em R$)</t>
  </si>
  <si>
    <t>Custo efetivo (em %)</t>
  </si>
  <si>
    <t>Kd líquido</t>
  </si>
  <si>
    <t>Empresa</t>
  </si>
  <si>
    <t>βa</t>
  </si>
  <si>
    <t>Imposto</t>
  </si>
  <si>
    <t>D/E</t>
  </si>
  <si>
    <t>βd</t>
  </si>
  <si>
    <t>0,65 - 0,77 - 0,79 - 0,79 - 0,90 - 0,96</t>
  </si>
  <si>
    <t>Mediana</t>
  </si>
  <si>
    <t>Beta Fechado</t>
  </si>
  <si>
    <t>Parâmetro</t>
  </si>
  <si>
    <t>Valor</t>
  </si>
  <si>
    <t>Beta alavancado observado (β)</t>
  </si>
  <si>
    <t>Risco-país</t>
  </si>
  <si>
    <t>Custo da dívida bruto (Kd)</t>
  </si>
  <si>
    <t>Alíquota IR + CSLL (t)</t>
  </si>
  <si>
    <t>Peso capital próprio E/(D+E)</t>
  </si>
  <si>
    <t>Peso da dívida D/(D+E)</t>
  </si>
  <si>
    <t xml:space="preserve">Prêmio de risco adicional (Rm - Rf) </t>
  </si>
  <si>
    <t xml:space="preserve">Taxa livre de risco (Rf) T-Bonds </t>
  </si>
  <si>
    <t>Ke</t>
  </si>
  <si>
    <t>Kd</t>
  </si>
  <si>
    <t>% CP</t>
  </si>
  <si>
    <t>% CT</t>
  </si>
  <si>
    <t>Comparável</t>
  </si>
  <si>
    <t>Beta alavancado (β)</t>
  </si>
  <si>
    <t>D/E observado</t>
  </si>
  <si>
    <t>Alíquota t</t>
  </si>
  <si>
    <t>Alfa Metais S.A.</t>
  </si>
  <si>
    <t>Beta Indústria S.A.</t>
  </si>
  <si>
    <t>Gama Componentes S.A.</t>
  </si>
  <si>
    <t>D/E Fechada</t>
  </si>
  <si>
    <t>Beta Alavancado Fechada</t>
  </si>
  <si>
    <t>Enterprise Value (EV)</t>
  </si>
  <si>
    <t>FC Livre Ano 5</t>
  </si>
  <si>
    <t>Valor da Perpetuidade</t>
  </si>
  <si>
    <t>Cenário A</t>
  </si>
  <si>
    <t>Cenário B</t>
  </si>
  <si>
    <t>Taxa de crescimento (g)</t>
  </si>
  <si>
    <t>VP da Perpetuidade</t>
  </si>
  <si>
    <t>VP FC Livre (Anos 1 a 5)</t>
  </si>
  <si>
    <t>Dívida Líquida</t>
  </si>
  <si>
    <t>Equity Value</t>
  </si>
  <si>
    <t>Comparação</t>
  </si>
  <si>
    <t>Equity A (g=3,5%)</t>
  </si>
  <si>
    <t>Equity B (g=5,0%)</t>
  </si>
  <si>
    <t>Impacto absoluto</t>
  </si>
  <si>
    <t>Impacto percentual</t>
  </si>
  <si>
    <t>Peso da Perpetuidade no EV (cenário A)</t>
  </si>
  <si>
    <t>Por que a g de 7% seria incorreto na perpetuidade?</t>
  </si>
  <si>
    <t>Insustentável no longo prazo</t>
  </si>
  <si>
    <t>Tipo</t>
  </si>
  <si>
    <t>EV/EBITDA</t>
  </si>
  <si>
    <t>Alfa Distribuidora S.A.</t>
  </si>
  <si>
    <t>7,2x</t>
  </si>
  <si>
    <t>Gama Varejo e Dist. S.A.</t>
  </si>
  <si>
    <t>7,6x</t>
  </si>
  <si>
    <t>Delta Commerce S.A.</t>
  </si>
  <si>
    <t>8,0x</t>
  </si>
  <si>
    <t>Beta: Margem 3x maior - Não é comparável</t>
  </si>
  <si>
    <t>Épsilon: Empresa industrial  - Não é comparável</t>
  </si>
  <si>
    <t>Enterprise Value</t>
  </si>
  <si>
    <t>Equity Value FCD</t>
  </si>
  <si>
    <t>Equity Value Múltiplos</t>
  </si>
  <si>
    <t>EBITDA incremental</t>
  </si>
  <si>
    <t>Custo</t>
  </si>
  <si>
    <t>Receita</t>
  </si>
  <si>
    <t>Financeira</t>
  </si>
  <si>
    <t>TOTAL</t>
  </si>
  <si>
    <t>VP EBITDA</t>
  </si>
  <si>
    <t>EV standalone da Serra</t>
  </si>
  <si>
    <t>VP total das sinergias</t>
  </si>
  <si>
    <t>EV máximo a pagar (standalone + sinergia)</t>
  </si>
  <si>
    <t>Preço proposto</t>
  </si>
  <si>
    <t xml:space="preserve">Prêmio sobre standalone </t>
  </si>
  <si>
    <t>Sinergia retida pelo comprador</t>
  </si>
  <si>
    <t>O negócio faz sentido? Como interpretar os números?</t>
  </si>
  <si>
    <t>Sim, pois a empresa pagará R$ 3,5 mil acima do valor standalone, mas obterá R$ 8,7 mil de sinergias, retendo R$ 5,2 mil de valor líquido criado pela transação</t>
  </si>
  <si>
    <t>Resultado operacional antes do IR/CSLL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</si>
</sst>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R$&quot;\ #,##0.00"/>
    <numFmt numFmtId="165" formatCode="0.000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2"/>
      <color rgb="FFFFFFFF"/>
      <name val="Aptos Narrow"/>
      <family val="2"/>
      <scheme val="minor"/>
    </font>
    <font>
      <sz val="12"/>
      <color rgb="FF11111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sz val="11"/>
      <color rgb="FF111111"/>
      <name val="Aptos Narrow"/>
      <family val="2"/>
      <scheme val="minor"/>
    </font>
    <font>
      <b/>
      <sz val="11"/>
      <color rgb="FF11111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0">
    <xf numFmtId="0" fontId="0" fillId="0" borderId="0" xfId="0"/>
    <xf numFmtId="0" fontId="4" fillId="0" borderId="1" xfId="0" applyFont="1" applyBorder="1" applyAlignment="1">
      <alignment horizontal="justify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justify" vertical="center" wrapText="1"/>
    </xf>
    <xf numFmtId="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0" fillId="2" borderId="1" xfId="0" applyFill="1" applyBorder="1"/>
    <xf numFmtId="4" fontId="5" fillId="2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/>
    </xf>
    <xf numFmtId="0" fontId="0" fillId="0" borderId="1" xfId="0" applyBorder="1"/>
    <xf numFmtId="4" fontId="0" fillId="0" borderId="1" xfId="0" applyNumberFormat="1" applyBorder="1" applyAlignment="1">
      <alignment horizontal="center"/>
    </xf>
    <xf numFmtId="0" fontId="3" fillId="0" borderId="1" xfId="0" applyFont="1" applyBorder="1"/>
    <xf numFmtId="0" fontId="0" fillId="0" borderId="0" xfId="0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4" fontId="5" fillId="0" borderId="0" xfId="0" applyNumberFormat="1" applyFont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4" fontId="4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/>
    </xf>
    <xf numFmtId="4" fontId="0" fillId="0" borderId="0" xfId="0" applyNumberFormat="1" applyAlignment="1">
      <alignment horizontal="center"/>
    </xf>
    <xf numFmtId="0" fontId="3" fillId="0" borderId="0" xfId="0" applyFont="1"/>
    <xf numFmtId="0" fontId="0" fillId="2" borderId="2" xfId="0" applyFill="1" applyBorder="1" applyAlignment="1">
      <alignment horizontal="justify" vertical="center" wrapText="1"/>
    </xf>
    <xf numFmtId="4" fontId="0" fillId="2" borderId="2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164" fontId="0" fillId="0" borderId="0" xfId="0" applyNumberFormat="1"/>
    <xf numFmtId="164" fontId="3" fillId="0" borderId="0" xfId="0" applyNumberFormat="1" applyFont="1" applyAlignment="1">
      <alignment horizontal="center"/>
    </xf>
    <xf numFmtId="164" fontId="3" fillId="0" borderId="0" xfId="0" applyNumberFormat="1" applyFont="1"/>
    <xf numFmtId="0" fontId="6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3" fontId="10" fillId="4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1" fontId="9" fillId="4" borderId="1" xfId="0" applyNumberFormat="1" applyFont="1" applyFill="1" applyBorder="1" applyAlignment="1">
      <alignment horizontal="center" vertical="center" wrapText="1"/>
    </xf>
    <xf numFmtId="3" fontId="9" fillId="4" borderId="1" xfId="0" applyNumberFormat="1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 wrapText="1"/>
    </xf>
    <xf numFmtId="9" fontId="0" fillId="0" borderId="0" xfId="1" applyFont="1" applyAlignment="1">
      <alignment horizontal="center"/>
    </xf>
    <xf numFmtId="0" fontId="11" fillId="0" borderId="0" xfId="0" applyFont="1" applyAlignment="1">
      <alignment horizontal="center" vertical="center" readingOrder="1"/>
    </xf>
    <xf numFmtId="0" fontId="12" fillId="0" borderId="0" xfId="0" applyFont="1" applyAlignment="1">
      <alignment horizontal="center" vertical="center" readingOrder="1"/>
    </xf>
    <xf numFmtId="9" fontId="12" fillId="0" borderId="0" xfId="0" applyNumberFormat="1" applyFont="1" applyAlignment="1">
      <alignment horizontal="center" vertical="center" readingOrder="1"/>
    </xf>
    <xf numFmtId="2" fontId="12" fillId="0" borderId="0" xfId="0" applyNumberFormat="1" applyFont="1" applyAlignment="1">
      <alignment horizontal="center" vertical="center" readingOrder="1"/>
    </xf>
    <xf numFmtId="165" fontId="0" fillId="0" borderId="0" xfId="0" applyNumberFormat="1" applyAlignment="1">
      <alignment horizontal="center"/>
    </xf>
    <xf numFmtId="9" fontId="9" fillId="4" borderId="1" xfId="0" applyNumberFormat="1" applyFont="1" applyFill="1" applyBorder="1" applyAlignment="1">
      <alignment horizontal="center" vertical="center" wrapText="1"/>
    </xf>
    <xf numFmtId="10" fontId="9" fillId="4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10" fontId="3" fillId="0" borderId="0" xfId="0" applyNumberFormat="1" applyFont="1" applyAlignment="1">
      <alignment horizontal="center"/>
    </xf>
    <xf numFmtId="9" fontId="7" fillId="4" borderId="1" xfId="0" applyNumberFormat="1" applyFont="1" applyFill="1" applyBorder="1" applyAlignment="1">
      <alignment horizontal="center" vertical="center" wrapText="1"/>
    </xf>
    <xf numFmtId="2" fontId="7" fillId="4" borderId="1" xfId="0" applyNumberFormat="1" applyFont="1" applyFill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left" vertical="center" wrapText="1"/>
    </xf>
    <xf numFmtId="10" fontId="0" fillId="5" borderId="1" xfId="0" applyNumberFormat="1" applyFill="1" applyBorder="1" applyAlignment="1">
      <alignment horizontal="center" vertical="center" wrapText="1"/>
    </xf>
    <xf numFmtId="9" fontId="0" fillId="5" borderId="1" xfId="0" applyNumberFormat="1" applyFill="1" applyBorder="1" applyAlignment="1">
      <alignment horizontal="center" vertical="center" wrapText="1"/>
    </xf>
    <xf numFmtId="10" fontId="9" fillId="4" borderId="1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3" borderId="1" xfId="0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10" fontId="3" fillId="0" borderId="0" xfId="1" applyNumberFormat="1" applyFont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2" fontId="3" fillId="0" borderId="0" xfId="0" applyNumberFormat="1" applyFont="1" applyAlignment="1">
      <alignment horizontal="center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AD064-EA15-4C36-BC73-C210B8BBA713}">
  <dimension ref="B2:I16"/>
  <sheetViews>
    <sheetView topLeftCell="B1" zoomScale="150" zoomScaleNormal="150" workbookViewId="0">
      <selection activeCell="I13" sqref="I13"/>
    </sheetView>
  </sheetViews>
  <sheetFormatPr defaultRowHeight="14.4" x14ac:dyDescent="0.3"/>
  <cols>
    <col min="1" max="1" width="5.77734375" customWidth="1"/>
    <col min="2" max="2" width="31.88671875" customWidth="1"/>
    <col min="3" max="3" width="12.33203125" customWidth="1"/>
    <col min="4" max="4" width="6.5546875" customWidth="1"/>
    <col min="5" max="5" width="38.6640625" customWidth="1"/>
    <col min="6" max="6" width="16.5546875" customWidth="1"/>
    <col min="7" max="7" width="6.44140625" customWidth="1"/>
    <col min="8" max="8" width="28.44140625" customWidth="1"/>
    <col min="9" max="9" width="14" customWidth="1"/>
  </cols>
  <sheetData>
    <row r="2" spans="2:9" x14ac:dyDescent="0.3">
      <c r="B2" s="69" t="s">
        <v>15</v>
      </c>
      <c r="C2" s="70"/>
      <c r="E2" s="69" t="s">
        <v>0</v>
      </c>
      <c r="F2" s="70"/>
      <c r="H2" s="71" t="s">
        <v>0</v>
      </c>
      <c r="I2" s="71"/>
    </row>
    <row r="3" spans="2:9" x14ac:dyDescent="0.3">
      <c r="B3" s="1" t="s">
        <v>1</v>
      </c>
      <c r="C3" s="2">
        <v>320000</v>
      </c>
      <c r="E3" s="1" t="s">
        <v>1</v>
      </c>
      <c r="F3" s="2">
        <v>320000</v>
      </c>
      <c r="H3" s="1" t="s">
        <v>14</v>
      </c>
      <c r="I3" s="2">
        <f>F10-F9</f>
        <v>158000</v>
      </c>
    </row>
    <row r="4" spans="2:9" x14ac:dyDescent="0.3">
      <c r="B4" s="3" t="s">
        <v>2</v>
      </c>
      <c r="C4" s="4">
        <v>-110000</v>
      </c>
      <c r="E4" s="3" t="s">
        <v>2</v>
      </c>
      <c r="F4" s="4">
        <v>-110000</v>
      </c>
      <c r="H4" s="23" t="s">
        <v>19</v>
      </c>
      <c r="I4" s="24">
        <f>-(I3+F9)*0.34</f>
        <v>-46920</v>
      </c>
    </row>
    <row r="5" spans="2:9" x14ac:dyDescent="0.3">
      <c r="B5" s="1" t="s">
        <v>3</v>
      </c>
      <c r="C5" s="2">
        <f>C3+C4</f>
        <v>210000</v>
      </c>
      <c r="E5" s="1" t="s">
        <v>3</v>
      </c>
      <c r="F5" s="2">
        <f>F3+F4</f>
        <v>210000</v>
      </c>
      <c r="H5" s="11" t="s">
        <v>20</v>
      </c>
      <c r="I5" s="12">
        <v>-32180</v>
      </c>
    </row>
    <row r="6" spans="2:9" x14ac:dyDescent="0.3">
      <c r="B6" s="3" t="s">
        <v>4</v>
      </c>
      <c r="C6" s="5"/>
      <c r="E6" s="3" t="s">
        <v>4</v>
      </c>
      <c r="F6" s="5"/>
      <c r="H6" s="11" t="s">
        <v>11</v>
      </c>
      <c r="I6" s="12">
        <v>-50000</v>
      </c>
    </row>
    <row r="7" spans="2:9" x14ac:dyDescent="0.3">
      <c r="B7" s="6" t="s">
        <v>5</v>
      </c>
      <c r="C7" s="7">
        <v>-37000</v>
      </c>
      <c r="E7" s="6" t="s">
        <v>5</v>
      </c>
      <c r="F7" s="7">
        <v>-37000</v>
      </c>
      <c r="H7" s="13" t="s">
        <v>12</v>
      </c>
      <c r="I7" s="10">
        <f>SUM(I3:I6)</f>
        <v>28900</v>
      </c>
    </row>
    <row r="8" spans="2:9" x14ac:dyDescent="0.3">
      <c r="B8" s="3" t="s">
        <v>6</v>
      </c>
      <c r="C8" s="4">
        <v>-15000</v>
      </c>
      <c r="E8" s="3" t="s">
        <v>6</v>
      </c>
      <c r="F8" s="4">
        <v>-15000</v>
      </c>
      <c r="H8" s="14"/>
      <c r="I8" s="17"/>
    </row>
    <row r="9" spans="2:9" x14ac:dyDescent="0.3">
      <c r="B9" s="6" t="s">
        <v>7</v>
      </c>
      <c r="C9" s="7">
        <v>-20000</v>
      </c>
      <c r="E9" s="6" t="s">
        <v>7</v>
      </c>
      <c r="F9" s="7">
        <v>-20000</v>
      </c>
      <c r="H9" s="15"/>
      <c r="I9" s="16"/>
    </row>
    <row r="10" spans="2:9" x14ac:dyDescent="0.3">
      <c r="B10" s="3" t="s">
        <v>16</v>
      </c>
      <c r="C10" s="4">
        <v>-11000</v>
      </c>
      <c r="E10" s="1" t="s">
        <v>147</v>
      </c>
      <c r="F10" s="2">
        <f>SUM(F5:F9)</f>
        <v>138000</v>
      </c>
      <c r="H10" s="18"/>
      <c r="I10" s="19"/>
    </row>
    <row r="11" spans="2:9" x14ac:dyDescent="0.3">
      <c r="B11" s="1" t="s">
        <v>17</v>
      </c>
      <c r="C11" s="2">
        <f>SUM(C5:C10)</f>
        <v>127000</v>
      </c>
      <c r="E11" s="8" t="s">
        <v>13</v>
      </c>
      <c r="F11" s="9">
        <f>-0.34*F10</f>
        <v>-46920</v>
      </c>
      <c r="I11" s="16"/>
    </row>
    <row r="12" spans="2:9" x14ac:dyDescent="0.3">
      <c r="B12" s="8" t="s">
        <v>8</v>
      </c>
      <c r="C12" s="9">
        <f>-0.34*C11</f>
        <v>-43180</v>
      </c>
      <c r="E12" s="1" t="s">
        <v>9</v>
      </c>
      <c r="F12" s="10">
        <f>F10+F11</f>
        <v>91080</v>
      </c>
      <c r="H12" s="18"/>
      <c r="I12" s="20"/>
    </row>
    <row r="13" spans="2:9" x14ac:dyDescent="0.3">
      <c r="B13" s="13" t="s">
        <v>18</v>
      </c>
      <c r="C13" s="10">
        <f>C11+C12</f>
        <v>83820</v>
      </c>
      <c r="E13" s="11" t="s">
        <v>10</v>
      </c>
      <c r="F13" s="12">
        <f>-F9</f>
        <v>20000</v>
      </c>
      <c r="I13" s="21"/>
    </row>
    <row r="14" spans="2:9" x14ac:dyDescent="0.3">
      <c r="E14" s="11" t="s">
        <v>20</v>
      </c>
      <c r="F14" s="12">
        <v>-32180</v>
      </c>
      <c r="I14" s="21"/>
    </row>
    <row r="15" spans="2:9" x14ac:dyDescent="0.3">
      <c r="E15" s="11" t="s">
        <v>11</v>
      </c>
      <c r="F15" s="12">
        <v>-50000</v>
      </c>
      <c r="I15" s="21"/>
    </row>
    <row r="16" spans="2:9" x14ac:dyDescent="0.3">
      <c r="E16" s="13" t="s">
        <v>12</v>
      </c>
      <c r="F16" s="10">
        <f>F12+F13+F14+F15</f>
        <v>28900</v>
      </c>
      <c r="H16" s="22"/>
      <c r="I16" s="20"/>
    </row>
  </sheetData>
  <mergeCells count="3">
    <mergeCell ref="E2:F2"/>
    <mergeCell ref="H2:I2"/>
    <mergeCell ref="B2:C2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F2656-38C4-4497-A862-168CF8214E8C}">
  <dimension ref="B2:D172"/>
  <sheetViews>
    <sheetView zoomScale="170" zoomScaleNormal="170" workbookViewId="0">
      <selection activeCell="C4" sqref="C4"/>
    </sheetView>
  </sheetViews>
  <sheetFormatPr defaultRowHeight="14.4" x14ac:dyDescent="0.3"/>
  <cols>
    <col min="2" max="2" width="15.77734375" customWidth="1"/>
    <col min="3" max="3" width="14.88671875" bestFit="1" customWidth="1"/>
    <col min="4" max="4" width="12.109375" bestFit="1" customWidth="1"/>
  </cols>
  <sheetData>
    <row r="2" spans="2:4" x14ac:dyDescent="0.3">
      <c r="B2" t="s">
        <v>21</v>
      </c>
    </row>
    <row r="4" spans="2:4" x14ac:dyDescent="0.3">
      <c r="B4" t="s">
        <v>22</v>
      </c>
      <c r="C4" s="26">
        <v>4191</v>
      </c>
    </row>
    <row r="5" spans="2:4" x14ac:dyDescent="0.3">
      <c r="B5" t="s">
        <v>23</v>
      </c>
      <c r="C5" s="27">
        <v>3.5000000000000003E-2</v>
      </c>
    </row>
    <row r="6" spans="2:4" x14ac:dyDescent="0.3">
      <c r="B6" t="s">
        <v>24</v>
      </c>
      <c r="C6" s="27">
        <v>0.1459</v>
      </c>
    </row>
    <row r="7" spans="2:4" x14ac:dyDescent="0.3">
      <c r="B7" s="22" t="s">
        <v>25</v>
      </c>
      <c r="C7" s="29">
        <f>(C4*(1+C5))/(C6-C5)</f>
        <v>39113.480613165011</v>
      </c>
      <c r="D7" s="25" t="s">
        <v>26</v>
      </c>
    </row>
    <row r="8" spans="2:4" x14ac:dyDescent="0.3">
      <c r="B8" s="22" t="s">
        <v>27</v>
      </c>
      <c r="C8" s="29">
        <f>C7/(1+C6)^5</f>
        <v>19796.702987151311</v>
      </c>
    </row>
    <row r="10" spans="2:4" x14ac:dyDescent="0.3">
      <c r="B10">
        <v>1</v>
      </c>
      <c r="C10" s="28">
        <f>C4*(1+C5)</f>
        <v>4337.6849999999995</v>
      </c>
      <c r="D10" s="28">
        <f>C10/(1+$C$6)^B10</f>
        <v>3785.3957587922155</v>
      </c>
    </row>
    <row r="11" spans="2:4" x14ac:dyDescent="0.3">
      <c r="B11">
        <v>2</v>
      </c>
      <c r="C11" s="28">
        <f>C10*(1+$C$5)</f>
        <v>4489.5039749999987</v>
      </c>
      <c r="D11" s="28">
        <f t="shared" ref="D11:D74" si="0">C11/(1+$C$6)^B11</f>
        <v>3419.0458245483401</v>
      </c>
    </row>
    <row r="12" spans="2:4" x14ac:dyDescent="0.3">
      <c r="B12">
        <v>3</v>
      </c>
      <c r="C12" s="28">
        <f t="shared" ref="C12:C75" si="1">C11*(1+$C$5)</f>
        <v>4646.6366141249982</v>
      </c>
      <c r="D12" s="28">
        <f t="shared" si="0"/>
        <v>3088.1511723601816</v>
      </c>
    </row>
    <row r="13" spans="2:4" x14ac:dyDescent="0.3">
      <c r="B13">
        <v>4</v>
      </c>
      <c r="C13" s="28">
        <f t="shared" si="1"/>
        <v>4809.2688956193724</v>
      </c>
      <c r="D13" s="28">
        <f t="shared" si="0"/>
        <v>2789.2804462804675</v>
      </c>
    </row>
    <row r="14" spans="2:4" x14ac:dyDescent="0.3">
      <c r="B14">
        <v>5</v>
      </c>
      <c r="C14" s="28">
        <f t="shared" si="1"/>
        <v>4977.5933069660505</v>
      </c>
      <c r="D14" s="28">
        <f t="shared" si="0"/>
        <v>2519.3343763856219</v>
      </c>
    </row>
    <row r="15" spans="2:4" x14ac:dyDescent="0.3">
      <c r="B15">
        <v>6</v>
      </c>
      <c r="C15" s="28">
        <f t="shared" si="1"/>
        <v>5151.8090727098615</v>
      </c>
      <c r="D15" s="28">
        <f t="shared" si="0"/>
        <v>2275.5136395489294</v>
      </c>
    </row>
    <row r="16" spans="2:4" x14ac:dyDescent="0.3">
      <c r="B16">
        <v>7</v>
      </c>
      <c r="C16" s="28">
        <f t="shared" si="1"/>
        <v>5332.1223902547063</v>
      </c>
      <c r="D16" s="28">
        <f t="shared" si="0"/>
        <v>2055.289830642414</v>
      </c>
    </row>
    <row r="17" spans="2:4" x14ac:dyDescent="0.3">
      <c r="B17">
        <v>8</v>
      </c>
      <c r="C17" s="28">
        <f t="shared" si="1"/>
        <v>5518.7466739136207</v>
      </c>
      <c r="D17" s="28">
        <f t="shared" si="0"/>
        <v>1856.3792431406741</v>
      </c>
    </row>
    <row r="18" spans="2:4" x14ac:dyDescent="0.3">
      <c r="B18">
        <v>9</v>
      </c>
      <c r="C18" s="28">
        <f t="shared" si="1"/>
        <v>5711.9028075005972</v>
      </c>
      <c r="D18" s="28">
        <f t="shared" si="0"/>
        <v>1676.7191872332646</v>
      </c>
    </row>
    <row r="19" spans="2:4" x14ac:dyDescent="0.3">
      <c r="B19">
        <v>10</v>
      </c>
      <c r="C19" s="28">
        <f t="shared" si="1"/>
        <v>5911.8194057631181</v>
      </c>
      <c r="D19" s="28">
        <f t="shared" si="0"/>
        <v>1514.4465998659823</v>
      </c>
    </row>
    <row r="20" spans="2:4" x14ac:dyDescent="0.3">
      <c r="B20">
        <v>11</v>
      </c>
      <c r="C20" s="28">
        <f t="shared" si="1"/>
        <v>6118.733084964827</v>
      </c>
      <c r="D20" s="28">
        <f t="shared" si="0"/>
        <v>1367.8787248985877</v>
      </c>
    </row>
    <row r="21" spans="2:4" x14ac:dyDescent="0.3">
      <c r="B21">
        <v>12</v>
      </c>
      <c r="C21" s="28">
        <f t="shared" si="1"/>
        <v>6332.888742938595</v>
      </c>
      <c r="D21" s="28">
        <f t="shared" si="0"/>
        <v>1235.4956630334568</v>
      </c>
    </row>
    <row r="22" spans="2:4" x14ac:dyDescent="0.3">
      <c r="B22">
        <v>13</v>
      </c>
      <c r="C22" s="28">
        <f t="shared" si="1"/>
        <v>6554.5398489414456</v>
      </c>
      <c r="D22" s="28">
        <f t="shared" si="0"/>
        <v>1115.924610559061</v>
      </c>
    </row>
    <row r="23" spans="2:4" x14ac:dyDescent="0.3">
      <c r="B23">
        <v>14</v>
      </c>
      <c r="C23" s="28">
        <f t="shared" si="1"/>
        <v>6783.9487436543959</v>
      </c>
      <c r="D23" s="28">
        <f t="shared" si="0"/>
        <v>1007.9256234650738</v>
      </c>
    </row>
    <row r="24" spans="2:4" x14ac:dyDescent="0.3">
      <c r="B24">
        <v>15</v>
      </c>
      <c r="C24" s="28">
        <f t="shared" si="1"/>
        <v>7021.386949682299</v>
      </c>
      <c r="D24" s="28">
        <f t="shared" si="0"/>
        <v>910.37875930391078</v>
      </c>
    </row>
    <row r="25" spans="2:4" x14ac:dyDescent="0.3">
      <c r="B25">
        <v>16</v>
      </c>
      <c r="C25" s="28">
        <f t="shared" si="1"/>
        <v>7267.1354929211793</v>
      </c>
      <c r="D25" s="28">
        <f t="shared" si="0"/>
        <v>822.27246346064032</v>
      </c>
    </row>
    <row r="26" spans="2:4" x14ac:dyDescent="0.3">
      <c r="B26">
        <v>17</v>
      </c>
      <c r="C26" s="28">
        <f t="shared" si="1"/>
        <v>7521.4852351734198</v>
      </c>
      <c r="D26" s="28">
        <f t="shared" si="0"/>
        <v>742.6930793976461</v>
      </c>
    </row>
    <row r="27" spans="2:4" x14ac:dyDescent="0.3">
      <c r="B27">
        <v>18</v>
      </c>
      <c r="C27" s="28">
        <f t="shared" si="1"/>
        <v>7784.7372184044889</v>
      </c>
      <c r="D27" s="28">
        <f t="shared" si="0"/>
        <v>670.81537409596285</v>
      </c>
    </row>
    <row r="28" spans="2:4" x14ac:dyDescent="0.3">
      <c r="B28">
        <v>19</v>
      </c>
      <c r="C28" s="28">
        <f t="shared" si="1"/>
        <v>8057.2030210486455</v>
      </c>
      <c r="D28" s="28">
        <f t="shared" si="0"/>
        <v>605.89398044272764</v>
      </c>
    </row>
    <row r="29" spans="2:4" x14ac:dyDescent="0.3">
      <c r="B29">
        <v>20</v>
      </c>
      <c r="C29" s="28">
        <f t="shared" si="1"/>
        <v>8339.2051267853476</v>
      </c>
      <c r="D29" s="28">
        <f t="shared" si="0"/>
        <v>547.25566782286683</v>
      </c>
    </row>
    <row r="30" spans="2:4" x14ac:dyDescent="0.3">
      <c r="B30">
        <v>21</v>
      </c>
      <c r="C30" s="28">
        <f t="shared" si="1"/>
        <v>8631.0773062228345</v>
      </c>
      <c r="D30" s="28">
        <f t="shared" si="0"/>
        <v>494.2923607615561</v>
      </c>
    </row>
    <row r="31" spans="2:4" x14ac:dyDescent="0.3">
      <c r="B31">
        <v>22</v>
      </c>
      <c r="C31" s="28">
        <f t="shared" si="1"/>
        <v>8933.1650119406331</v>
      </c>
      <c r="D31" s="28">
        <f t="shared" si="0"/>
        <v>446.45483322123278</v>
      </c>
    </row>
    <row r="32" spans="2:4" x14ac:dyDescent="0.3">
      <c r="B32">
        <v>23</v>
      </c>
      <c r="C32" s="28">
        <f t="shared" si="1"/>
        <v>9245.8257873585553</v>
      </c>
      <c r="D32" s="28">
        <f t="shared" si="0"/>
        <v>403.24701316343135</v>
      </c>
    </row>
    <row r="33" spans="2:4" x14ac:dyDescent="0.3">
      <c r="B33">
        <v>24</v>
      </c>
      <c r="C33" s="28">
        <f t="shared" si="1"/>
        <v>9569.4296899161036</v>
      </c>
      <c r="D33" s="28">
        <f t="shared" si="0"/>
        <v>364.22083831412112</v>
      </c>
    </row>
    <row r="34" spans="2:4" x14ac:dyDescent="0.3">
      <c r="B34">
        <v>25</v>
      </c>
      <c r="C34" s="28">
        <f t="shared" si="1"/>
        <v>9904.359729063166</v>
      </c>
      <c r="D34" s="28">
        <f t="shared" si="0"/>
        <v>328.97160978716761</v>
      </c>
    </row>
    <row r="35" spans="2:4" x14ac:dyDescent="0.3">
      <c r="B35">
        <v>26</v>
      </c>
      <c r="C35" s="28">
        <f t="shared" si="1"/>
        <v>10251.012319580375</v>
      </c>
      <c r="D35" s="28">
        <f t="shared" si="0"/>
        <v>297.13379538329565</v>
      </c>
    </row>
    <row r="36" spans="2:4" x14ac:dyDescent="0.3">
      <c r="B36">
        <v>27</v>
      </c>
      <c r="C36" s="28">
        <f t="shared" si="1"/>
        <v>10609.797750765687</v>
      </c>
      <c r="D36" s="28">
        <f t="shared" si="0"/>
        <v>268.37723904503969</v>
      </c>
    </row>
    <row r="37" spans="2:4" x14ac:dyDescent="0.3">
      <c r="B37">
        <v>28</v>
      </c>
      <c r="C37" s="28">
        <f t="shared" si="1"/>
        <v>10981.140672042486</v>
      </c>
      <c r="D37" s="28">
        <f t="shared" si="0"/>
        <v>242.40373715997563</v>
      </c>
    </row>
    <row r="38" spans="2:4" x14ac:dyDescent="0.3">
      <c r="B38">
        <v>29</v>
      </c>
      <c r="C38" s="28">
        <f t="shared" si="1"/>
        <v>11365.480595563971</v>
      </c>
      <c r="D38" s="28">
        <f t="shared" si="0"/>
        <v>218.94394620872222</v>
      </c>
    </row>
    <row r="39" spans="2:4" x14ac:dyDescent="0.3">
      <c r="B39">
        <v>30</v>
      </c>
      <c r="C39" s="28">
        <f t="shared" si="1"/>
        <v>11763.272416408709</v>
      </c>
      <c r="D39" s="28">
        <f t="shared" si="0"/>
        <v>197.75458969022381</v>
      </c>
    </row>
    <row r="40" spans="2:4" x14ac:dyDescent="0.3">
      <c r="B40">
        <v>31</v>
      </c>
      <c r="C40" s="28">
        <f t="shared" si="1"/>
        <v>12174.986950983013</v>
      </c>
      <c r="D40" s="28">
        <f t="shared" si="0"/>
        <v>178.61593536031214</v>
      </c>
    </row>
    <row r="41" spans="2:4" x14ac:dyDescent="0.3">
      <c r="B41">
        <v>32</v>
      </c>
      <c r="C41" s="28">
        <f t="shared" si="1"/>
        <v>12601.111494267418</v>
      </c>
      <c r="D41" s="28">
        <f t="shared" si="0"/>
        <v>161.32951662267479</v>
      </c>
    </row>
    <row r="42" spans="2:4" x14ac:dyDescent="0.3">
      <c r="B42">
        <v>33</v>
      </c>
      <c r="C42" s="28">
        <f t="shared" si="1"/>
        <v>13042.150396566776</v>
      </c>
      <c r="D42" s="28">
        <f t="shared" si="0"/>
        <v>145.71607444320483</v>
      </c>
    </row>
    <row r="43" spans="2:4" x14ac:dyDescent="0.3">
      <c r="B43">
        <v>34</v>
      </c>
      <c r="C43" s="28">
        <f t="shared" si="1"/>
        <v>13498.625660446613</v>
      </c>
      <c r="D43" s="28">
        <f t="shared" si="0"/>
        <v>131.61369844551618</v>
      </c>
    </row>
    <row r="44" spans="2:4" x14ac:dyDescent="0.3">
      <c r="B44">
        <v>35</v>
      </c>
      <c r="C44" s="28">
        <f t="shared" si="1"/>
        <v>13971.077558562243</v>
      </c>
      <c r="D44" s="28">
        <f t="shared" si="0"/>
        <v>118.8761479109078</v>
      </c>
    </row>
    <row r="45" spans="2:4" x14ac:dyDescent="0.3">
      <c r="B45">
        <v>36</v>
      </c>
      <c r="C45" s="28">
        <f t="shared" si="1"/>
        <v>14460.065273111921</v>
      </c>
      <c r="D45" s="28">
        <f t="shared" si="0"/>
        <v>107.3713352716551</v>
      </c>
    </row>
    <row r="46" spans="2:4" x14ac:dyDescent="0.3">
      <c r="B46">
        <v>37</v>
      </c>
      <c r="C46" s="28">
        <f t="shared" si="1"/>
        <v>14966.167557670837</v>
      </c>
      <c r="D46" s="28">
        <f t="shared" si="0"/>
        <v>96.979956371553385</v>
      </c>
    </row>
    <row r="47" spans="2:4" x14ac:dyDescent="0.3">
      <c r="B47">
        <v>38</v>
      </c>
      <c r="C47" s="28">
        <f t="shared" si="1"/>
        <v>15489.983422189314</v>
      </c>
      <c r="D47" s="28">
        <f t="shared" si="0"/>
        <v>87.594253289604467</v>
      </c>
    </row>
    <row r="48" spans="2:4" x14ac:dyDescent="0.3">
      <c r="B48">
        <v>39</v>
      </c>
      <c r="C48" s="28">
        <f t="shared" si="1"/>
        <v>16032.132841965938</v>
      </c>
      <c r="D48" s="28">
        <f t="shared" si="0"/>
        <v>79.116896897408679</v>
      </c>
    </row>
    <row r="49" spans="2:4" x14ac:dyDescent="0.3">
      <c r="B49">
        <v>40</v>
      </c>
      <c r="C49" s="28">
        <f t="shared" si="1"/>
        <v>16593.257491434746</v>
      </c>
      <c r="D49" s="28">
        <f t="shared" si="0"/>
        <v>71.45997756245572</v>
      </c>
    </row>
    <row r="50" spans="2:4" x14ac:dyDescent="0.3">
      <c r="B50">
        <v>41</v>
      </c>
      <c r="C50" s="28">
        <f t="shared" si="1"/>
        <v>17174.021503634962</v>
      </c>
      <c r="D50" s="28">
        <f t="shared" si="0"/>
        <v>64.544093530972745</v>
      </c>
    </row>
    <row r="51" spans="2:4" x14ac:dyDescent="0.3">
      <c r="B51">
        <v>42</v>
      </c>
      <c r="C51" s="28">
        <f t="shared" si="1"/>
        <v>17775.112256262186</v>
      </c>
      <c r="D51" s="28">
        <f t="shared" si="0"/>
        <v>58.297527536920157</v>
      </c>
    </row>
    <row r="52" spans="2:4" x14ac:dyDescent="0.3">
      <c r="B52">
        <v>43</v>
      </c>
      <c r="C52" s="28">
        <f t="shared" si="1"/>
        <v>18397.24118523136</v>
      </c>
      <c r="D52" s="28">
        <f t="shared" si="0"/>
        <v>52.655503098623221</v>
      </c>
    </row>
    <row r="53" spans="2:4" x14ac:dyDescent="0.3">
      <c r="B53">
        <v>44</v>
      </c>
      <c r="C53" s="28">
        <f t="shared" si="1"/>
        <v>19041.144626714457</v>
      </c>
      <c r="D53" s="28">
        <f t="shared" si="0"/>
        <v>47.559512790884924</v>
      </c>
    </row>
    <row r="54" spans="2:4" x14ac:dyDescent="0.3">
      <c r="B54">
        <v>45</v>
      </c>
      <c r="C54" s="28">
        <f t="shared" si="1"/>
        <v>19707.584688649462</v>
      </c>
      <c r="D54" s="28">
        <f t="shared" si="0"/>
        <v>42.956711526805051</v>
      </c>
    </row>
    <row r="55" spans="2:4" x14ac:dyDescent="0.3">
      <c r="B55">
        <v>46</v>
      </c>
      <c r="C55" s="28">
        <f t="shared" si="1"/>
        <v>20397.350152752191</v>
      </c>
      <c r="D55" s="28">
        <f t="shared" si="0"/>
        <v>38.799368557678001</v>
      </c>
    </row>
    <row r="56" spans="2:4" x14ac:dyDescent="0.3">
      <c r="B56">
        <v>47</v>
      </c>
      <c r="C56" s="28">
        <f t="shared" si="1"/>
        <v>21111.257408098518</v>
      </c>
      <c r="D56" s="28">
        <f t="shared" si="0"/>
        <v>35.044372508243946</v>
      </c>
    </row>
    <row r="57" spans="2:4" x14ac:dyDescent="0.3">
      <c r="B57">
        <v>48</v>
      </c>
      <c r="C57" s="28">
        <f t="shared" si="1"/>
        <v>21850.151417381963</v>
      </c>
      <c r="D57" s="28">
        <f t="shared" si="0"/>
        <v>31.652784314540956</v>
      </c>
    </row>
    <row r="58" spans="2:4" x14ac:dyDescent="0.3">
      <c r="B58">
        <v>49</v>
      </c>
      <c r="C58" s="28">
        <f t="shared" si="1"/>
        <v>22614.906716990332</v>
      </c>
      <c r="D58" s="28">
        <f t="shared" si="0"/>
        <v>28.589433428353164</v>
      </c>
    </row>
    <row r="59" spans="2:4" x14ac:dyDescent="0.3">
      <c r="B59">
        <v>50</v>
      </c>
      <c r="C59" s="28">
        <f t="shared" si="1"/>
        <v>23406.428452084991</v>
      </c>
      <c r="D59" s="28">
        <f t="shared" si="0"/>
        <v>25.822553100921134</v>
      </c>
    </row>
    <row r="60" spans="2:4" x14ac:dyDescent="0.3">
      <c r="B60">
        <v>51</v>
      </c>
      <c r="C60" s="28">
        <f t="shared" si="1"/>
        <v>24225.653447907964</v>
      </c>
      <c r="D60" s="28">
        <f t="shared" si="0"/>
        <v>23.323450963830503</v>
      </c>
    </row>
    <row r="61" spans="2:4" x14ac:dyDescent="0.3">
      <c r="B61">
        <v>52</v>
      </c>
      <c r="C61" s="28">
        <f t="shared" si="1"/>
        <v>25073.551318584741</v>
      </c>
      <c r="D61" s="28">
        <f t="shared" si="0"/>
        <v>21.066211491024148</v>
      </c>
    </row>
    <row r="62" spans="2:4" x14ac:dyDescent="0.3">
      <c r="B62">
        <v>53</v>
      </c>
      <c r="C62" s="28">
        <f t="shared" si="1"/>
        <v>25951.125614735207</v>
      </c>
      <c r="D62" s="28">
        <f t="shared" si="0"/>
        <v>19.027427256488341</v>
      </c>
    </row>
    <row r="63" spans="2:4" x14ac:dyDescent="0.3">
      <c r="B63">
        <v>54</v>
      </c>
      <c r="C63" s="28">
        <f t="shared" si="1"/>
        <v>26859.415011250938</v>
      </c>
      <c r="D63" s="28">
        <f t="shared" si="0"/>
        <v>17.185956200772704</v>
      </c>
    </row>
    <row r="64" spans="2:4" x14ac:dyDescent="0.3">
      <c r="B64">
        <v>55</v>
      </c>
      <c r="C64" s="28">
        <f t="shared" si="1"/>
        <v>27799.494536644717</v>
      </c>
      <c r="D64" s="28">
        <f t="shared" si="0"/>
        <v>15.522702389213496</v>
      </c>
    </row>
    <row r="65" spans="2:4" x14ac:dyDescent="0.3">
      <c r="B65">
        <v>56</v>
      </c>
      <c r="C65" s="28">
        <f t="shared" si="1"/>
        <v>28772.476845427282</v>
      </c>
      <c r="D65" s="28">
        <f t="shared" si="0"/>
        <v>14.020417988337526</v>
      </c>
    </row>
    <row r="66" spans="2:4" x14ac:dyDescent="0.3">
      <c r="B66">
        <v>57</v>
      </c>
      <c r="C66" s="28">
        <f t="shared" si="1"/>
        <v>29779.513535017235</v>
      </c>
      <c r="D66" s="28">
        <f t="shared" si="0"/>
        <v>12.663524406954656</v>
      </c>
    </row>
    <row r="67" spans="2:4" x14ac:dyDescent="0.3">
      <c r="B67">
        <v>58</v>
      </c>
      <c r="C67" s="28">
        <f t="shared" si="1"/>
        <v>30821.796508742835</v>
      </c>
      <c r="D67" s="28">
        <f t="shared" si="0"/>
        <v>11.437950747183931</v>
      </c>
    </row>
    <row r="68" spans="2:4" x14ac:dyDescent="0.3">
      <c r="B68">
        <v>59</v>
      </c>
      <c r="C68" s="28">
        <f t="shared" si="1"/>
        <v>31900.55938654883</v>
      </c>
      <c r="D68" s="28">
        <f t="shared" si="0"/>
        <v>10.330987890160896</v>
      </c>
    </row>
    <row r="69" spans="2:4" x14ac:dyDescent="0.3">
      <c r="B69">
        <v>60</v>
      </c>
      <c r="C69" s="28">
        <f t="shared" si="1"/>
        <v>33017.078965078035</v>
      </c>
      <c r="D69" s="28">
        <f t="shared" si="0"/>
        <v>9.331156703304412</v>
      </c>
    </row>
    <row r="70" spans="2:4" x14ac:dyDescent="0.3">
      <c r="B70">
        <v>61</v>
      </c>
      <c r="C70" s="28">
        <f t="shared" si="1"/>
        <v>34172.67672885576</v>
      </c>
      <c r="D70" s="28">
        <f t="shared" si="0"/>
        <v>8.4280890024610056</v>
      </c>
    </row>
    <row r="71" spans="2:4" x14ac:dyDescent="0.3">
      <c r="B71">
        <v>62</v>
      </c>
      <c r="C71" s="28">
        <f t="shared" si="1"/>
        <v>35368.720414365707</v>
      </c>
      <c r="D71" s="28">
        <f t="shared" si="0"/>
        <v>7.6124200345118593</v>
      </c>
    </row>
    <row r="72" spans="2:4" x14ac:dyDescent="0.3">
      <c r="B72">
        <v>63</v>
      </c>
      <c r="C72" s="28">
        <f t="shared" si="1"/>
        <v>36606.625628868504</v>
      </c>
      <c r="D72" s="28">
        <f t="shared" si="0"/>
        <v>6.8756913654941751</v>
      </c>
    </row>
    <row r="73" spans="2:4" x14ac:dyDescent="0.3">
      <c r="B73">
        <v>64</v>
      </c>
      <c r="C73" s="28">
        <f t="shared" si="1"/>
        <v>37887.857525878899</v>
      </c>
      <c r="D73" s="28">
        <f t="shared" si="0"/>
        <v>6.2102631671930091</v>
      </c>
    </row>
    <row r="74" spans="2:4" x14ac:dyDescent="0.3">
      <c r="B74">
        <v>65</v>
      </c>
      <c r="C74" s="28">
        <f t="shared" si="1"/>
        <v>39213.932539284659</v>
      </c>
      <c r="D74" s="28">
        <f t="shared" si="0"/>
        <v>5.6092349926213156</v>
      </c>
    </row>
    <row r="75" spans="2:4" x14ac:dyDescent="0.3">
      <c r="B75">
        <v>66</v>
      </c>
      <c r="C75" s="28">
        <f t="shared" si="1"/>
        <v>40586.42017815962</v>
      </c>
      <c r="D75" s="28">
        <f t="shared" ref="D75:D117" si="2">C75/(1+$C$6)^B75</f>
        <v>5.0663742188350307</v>
      </c>
    </row>
    <row r="76" spans="2:4" x14ac:dyDescent="0.3">
      <c r="B76">
        <v>67</v>
      </c>
      <c r="C76" s="28">
        <f t="shared" ref="C76:C99" si="3">C75*(1+$C$5)</f>
        <v>42006.944884395205</v>
      </c>
      <c r="D76" s="28">
        <f t="shared" si="2"/>
        <v>4.576051415039931</v>
      </c>
    </row>
    <row r="77" spans="2:4" x14ac:dyDescent="0.3">
      <c r="B77">
        <v>68</v>
      </c>
      <c r="C77" s="28">
        <f t="shared" si="3"/>
        <v>43477.187955349036</v>
      </c>
      <c r="D77" s="28">
        <f t="shared" si="2"/>
        <v>4.1331819657616968</v>
      </c>
    </row>
    <row r="78" spans="2:4" x14ac:dyDescent="0.3">
      <c r="B78">
        <v>69</v>
      </c>
      <c r="C78" s="28">
        <f t="shared" si="3"/>
        <v>44998.889533786249</v>
      </c>
      <c r="D78" s="28">
        <f t="shared" si="2"/>
        <v>3.7331733437152952</v>
      </c>
    </row>
    <row r="79" spans="2:4" x14ac:dyDescent="0.3">
      <c r="B79">
        <v>70</v>
      </c>
      <c r="C79" s="28">
        <f t="shared" si="3"/>
        <v>46573.850667468767</v>
      </c>
      <c r="D79" s="28">
        <f t="shared" si="2"/>
        <v>3.3718774855967628</v>
      </c>
    </row>
    <row r="80" spans="2:4" x14ac:dyDescent="0.3">
      <c r="B80">
        <v>71</v>
      </c>
      <c r="C80" s="28">
        <f t="shared" si="3"/>
        <v>48203.935440830173</v>
      </c>
      <c r="D80" s="28">
        <f t="shared" si="2"/>
        <v>3.0455477769374726</v>
      </c>
    </row>
    <row r="81" spans="2:4" x14ac:dyDescent="0.3">
      <c r="B81">
        <v>72</v>
      </c>
      <c r="C81" s="28">
        <f t="shared" si="3"/>
        <v>49891.073181259228</v>
      </c>
      <c r="D81" s="28">
        <f t="shared" si="2"/>
        <v>2.7508001999566143</v>
      </c>
    </row>
    <row r="82" spans="2:4" x14ac:dyDescent="0.3">
      <c r="B82">
        <v>73</v>
      </c>
      <c r="C82" s="28">
        <f t="shared" si="3"/>
        <v>51637.260742603299</v>
      </c>
      <c r="D82" s="28">
        <f t="shared" si="2"/>
        <v>2.4845782415176685</v>
      </c>
    </row>
    <row r="83" spans="2:4" x14ac:dyDescent="0.3">
      <c r="B83">
        <v>74</v>
      </c>
      <c r="C83" s="28">
        <f t="shared" si="3"/>
        <v>53444.564868594411</v>
      </c>
      <c r="D83" s="28">
        <f t="shared" si="2"/>
        <v>2.2441211972866628</v>
      </c>
    </row>
    <row r="84" spans="2:4" x14ac:dyDescent="0.3">
      <c r="B84">
        <v>75</v>
      </c>
      <c r="C84" s="28">
        <f t="shared" si="3"/>
        <v>55315.124638995214</v>
      </c>
      <c r="D84" s="28">
        <f t="shared" si="2"/>
        <v>2.0269355434084093</v>
      </c>
    </row>
    <row r="85" spans="2:4" x14ac:dyDescent="0.3">
      <c r="B85">
        <v>76</v>
      </c>
      <c r="C85" s="28">
        <f t="shared" si="3"/>
        <v>57251.154001360039</v>
      </c>
      <c r="D85" s="28">
        <f t="shared" si="2"/>
        <v>1.8307690788268638</v>
      </c>
    </row>
    <row r="86" spans="2:4" x14ac:dyDescent="0.3">
      <c r="B86">
        <v>77</v>
      </c>
      <c r="C86" s="28">
        <f t="shared" si="3"/>
        <v>59254.944391407633</v>
      </c>
      <c r="D86" s="28">
        <f t="shared" si="2"/>
        <v>1.6535875701071683</v>
      </c>
    </row>
    <row r="87" spans="2:4" x14ac:dyDescent="0.3">
      <c r="B87">
        <v>78</v>
      </c>
      <c r="C87" s="28">
        <f t="shared" si="3"/>
        <v>61328.867445106895</v>
      </c>
      <c r="D87" s="28">
        <f t="shared" si="2"/>
        <v>1.4935536565676928</v>
      </c>
    </row>
    <row r="88" spans="2:4" x14ac:dyDescent="0.3">
      <c r="B88">
        <v>79</v>
      </c>
      <c r="C88" s="28">
        <f t="shared" si="3"/>
        <v>63475.377805685632</v>
      </c>
      <c r="D88" s="28">
        <f t="shared" si="2"/>
        <v>1.3490077969696848</v>
      </c>
    </row>
    <row r="89" spans="2:4" x14ac:dyDescent="0.3">
      <c r="B89">
        <v>80</v>
      </c>
      <c r="C89" s="28">
        <f t="shared" si="3"/>
        <v>65697.016028884624</v>
      </c>
      <c r="D89" s="28">
        <f t="shared" si="2"/>
        <v>1.2184510601829339</v>
      </c>
    </row>
    <row r="90" spans="2:4" x14ac:dyDescent="0.3">
      <c r="B90">
        <v>81</v>
      </c>
      <c r="C90" s="28">
        <f t="shared" si="3"/>
        <v>67996.411589895579</v>
      </c>
      <c r="D90" s="28">
        <f t="shared" si="2"/>
        <v>1.1005295813677778</v>
      </c>
    </row>
    <row r="91" spans="2:4" x14ac:dyDescent="0.3">
      <c r="B91">
        <v>82</v>
      </c>
      <c r="C91" s="28">
        <f t="shared" si="3"/>
        <v>70376.285995541912</v>
      </c>
      <c r="D91" s="28">
        <f t="shared" si="2"/>
        <v>0.99402052248507722</v>
      </c>
    </row>
    <row r="92" spans="2:4" x14ac:dyDescent="0.3">
      <c r="B92">
        <v>83</v>
      </c>
      <c r="C92" s="28">
        <f t="shared" si="3"/>
        <v>72839.456005385873</v>
      </c>
      <c r="D92" s="28">
        <f t="shared" si="2"/>
        <v>0.89781939154555801</v>
      </c>
    </row>
    <row r="93" spans="2:4" x14ac:dyDescent="0.3">
      <c r="B93">
        <v>84</v>
      </c>
      <c r="C93" s="28">
        <f t="shared" si="3"/>
        <v>75388.836965574374</v>
      </c>
      <c r="D93" s="28">
        <f t="shared" si="2"/>
        <v>0.81092858909996735</v>
      </c>
    </row>
    <row r="94" spans="2:4" x14ac:dyDescent="0.3">
      <c r="B94">
        <v>85</v>
      </c>
      <c r="C94" s="28">
        <f t="shared" si="3"/>
        <v>78027.446259369477</v>
      </c>
      <c r="D94" s="28">
        <f t="shared" si="2"/>
        <v>0.73244706319789354</v>
      </c>
    </row>
    <row r="95" spans="2:4" x14ac:dyDescent="0.3">
      <c r="B95">
        <v>86</v>
      </c>
      <c r="C95" s="28">
        <f t="shared" si="3"/>
        <v>80758.406878447408</v>
      </c>
      <c r="D95" s="28">
        <f t="shared" si="2"/>
        <v>0.66156096553784793</v>
      </c>
    </row>
    <row r="96" spans="2:4" x14ac:dyDescent="0.3">
      <c r="B96">
        <v>87</v>
      </c>
      <c r="C96" s="28">
        <f t="shared" si="3"/>
        <v>83584.951119193065</v>
      </c>
      <c r="D96" s="28">
        <f t="shared" si="2"/>
        <v>0.5975352119134939</v>
      </c>
    </row>
    <row r="97" spans="2:4" x14ac:dyDescent="0.3">
      <c r="B97">
        <v>88</v>
      </c>
      <c r="C97" s="28">
        <f t="shared" si="3"/>
        <v>86510.424408364823</v>
      </c>
      <c r="D97" s="28">
        <f t="shared" si="2"/>
        <v>0.53970585943840321</v>
      </c>
    </row>
    <row r="98" spans="2:4" x14ac:dyDescent="0.3">
      <c r="B98">
        <v>89</v>
      </c>
      <c r="C98" s="28">
        <f t="shared" si="3"/>
        <v>89538.289262657578</v>
      </c>
      <c r="D98" s="28">
        <f t="shared" si="2"/>
        <v>0.48747322150165573</v>
      </c>
    </row>
    <row r="99" spans="2:4" x14ac:dyDescent="0.3">
      <c r="B99">
        <v>90</v>
      </c>
      <c r="C99" s="28">
        <f t="shared" si="3"/>
        <v>92672.129386850589</v>
      </c>
      <c r="D99" s="28">
        <f t="shared" si="2"/>
        <v>0.44029564905682317</v>
      </c>
    </row>
    <row r="100" spans="2:4" x14ac:dyDescent="0.3">
      <c r="B100">
        <v>91</v>
      </c>
      <c r="C100" s="28">
        <f t="shared" ref="C100:C117" si="4">C99*(1+$C$5)</f>
        <v>95915.653915390358</v>
      </c>
      <c r="D100" s="28">
        <f t="shared" si="2"/>
        <v>0.39768391375670831</v>
      </c>
    </row>
    <row r="101" spans="2:4" x14ac:dyDescent="0.3">
      <c r="B101">
        <v>92</v>
      </c>
      <c r="C101" s="28">
        <f t="shared" si="4"/>
        <v>99272.701802429016</v>
      </c>
      <c r="D101" s="28">
        <f t="shared" si="2"/>
        <v>0.35919613468731398</v>
      </c>
    </row>
    <row r="102" spans="2:4" x14ac:dyDescent="0.3">
      <c r="B102">
        <v>93</v>
      </c>
      <c r="C102" s="28">
        <f t="shared" si="4"/>
        <v>102747.24636551402</v>
      </c>
      <c r="D102" s="28">
        <f t="shared" si="2"/>
        <v>0.32443319609160481</v>
      </c>
    </row>
    <row r="103" spans="2:4" x14ac:dyDescent="0.3">
      <c r="B103">
        <v>94</v>
      </c>
      <c r="C103" s="28">
        <f t="shared" si="4"/>
        <v>106343.39998830699</v>
      </c>
      <c r="D103" s="28">
        <f t="shared" si="2"/>
        <v>0.29303460856515484</v>
      </c>
    </row>
    <row r="104" spans="2:4" x14ac:dyDescent="0.3">
      <c r="B104">
        <v>95</v>
      </c>
      <c r="C104" s="28">
        <f t="shared" si="4"/>
        <v>110065.41898789773</v>
      </c>
      <c r="D104" s="28">
        <f t="shared" si="2"/>
        <v>0.26467477080455132</v>
      </c>
    </row>
    <row r="105" spans="2:4" x14ac:dyDescent="0.3">
      <c r="B105">
        <v>96</v>
      </c>
      <c r="C105" s="28">
        <f t="shared" si="4"/>
        <v>113917.70865247415</v>
      </c>
      <c r="D105" s="28">
        <f t="shared" si="2"/>
        <v>0.23905959314312816</v>
      </c>
    </row>
    <row r="106" spans="2:4" x14ac:dyDescent="0.3">
      <c r="B106">
        <v>97</v>
      </c>
      <c r="C106" s="28">
        <f t="shared" si="4"/>
        <v>117904.82845531074</v>
      </c>
      <c r="D106" s="28">
        <f t="shared" si="2"/>
        <v>0.21592344786031736</v>
      </c>
    </row>
    <row r="107" spans="2:4" x14ac:dyDescent="0.3">
      <c r="B107">
        <v>98</v>
      </c>
      <c r="C107" s="28">
        <f t="shared" si="4"/>
        <v>122031.4974512466</v>
      </c>
      <c r="D107" s="28">
        <f t="shared" si="2"/>
        <v>0.19502641463952219</v>
      </c>
    </row>
    <row r="108" spans="2:4" x14ac:dyDescent="0.3">
      <c r="B108">
        <v>99</v>
      </c>
      <c r="C108" s="28">
        <f t="shared" si="4"/>
        <v>126302.59986204022</v>
      </c>
      <c r="D108" s="28">
        <f t="shared" si="2"/>
        <v>0.17615179261009289</v>
      </c>
    </row>
    <row r="109" spans="2:4" x14ac:dyDescent="0.3">
      <c r="B109">
        <v>100</v>
      </c>
      <c r="C109" s="28">
        <f t="shared" si="4"/>
        <v>130723.19085721162</v>
      </c>
      <c r="D109" s="28">
        <f t="shared" si="2"/>
        <v>0.15910385317344111</v>
      </c>
    </row>
    <row r="110" spans="2:4" x14ac:dyDescent="0.3">
      <c r="B110">
        <v>101</v>
      </c>
      <c r="C110" s="28">
        <f t="shared" si="4"/>
        <v>135298.50253721402</v>
      </c>
      <c r="D110" s="28">
        <f t="shared" si="2"/>
        <v>0.14370581031024657</v>
      </c>
    </row>
    <row r="111" spans="2:4" x14ac:dyDescent="0.3">
      <c r="B111">
        <v>102</v>
      </c>
      <c r="C111" s="28">
        <f t="shared" si="4"/>
        <v>140033.95012601651</v>
      </c>
      <c r="D111" s="28">
        <f t="shared" si="2"/>
        <v>0.12979798732097497</v>
      </c>
    </row>
    <row r="112" spans="2:4" x14ac:dyDescent="0.3">
      <c r="B112">
        <v>103</v>
      </c>
      <c r="C112" s="28">
        <f t="shared" si="4"/>
        <v>144935.13838042709</v>
      </c>
      <c r="D112" s="28">
        <f t="shared" si="2"/>
        <v>0.11723616098892495</v>
      </c>
    </row>
    <row r="113" spans="2:4" x14ac:dyDescent="0.3">
      <c r="B113">
        <v>104</v>
      </c>
      <c r="C113" s="28">
        <f t="shared" si="4"/>
        <v>150007.86822374203</v>
      </c>
      <c r="D113" s="28">
        <f t="shared" si="2"/>
        <v>0.10589006599488379</v>
      </c>
    </row>
    <row r="114" spans="2:4" x14ac:dyDescent="0.3">
      <c r="B114">
        <v>105</v>
      </c>
      <c r="C114" s="28">
        <f t="shared" si="4"/>
        <v>155258.14361157297</v>
      </c>
      <c r="D114" s="28">
        <f t="shared" si="2"/>
        <v>9.5642044074268892E-2</v>
      </c>
    </row>
    <row r="115" spans="2:4" x14ac:dyDescent="0.3">
      <c r="B115">
        <v>106</v>
      </c>
      <c r="C115" s="28">
        <f t="shared" si="4"/>
        <v>160692.17863797801</v>
      </c>
      <c r="D115" s="28">
        <f t="shared" si="2"/>
        <v>8.638582390860311E-2</v>
      </c>
    </row>
    <row r="116" spans="2:4" x14ac:dyDescent="0.3">
      <c r="B116">
        <v>107</v>
      </c>
      <c r="C116" s="28">
        <f t="shared" si="4"/>
        <v>166316.40489030723</v>
      </c>
      <c r="D116" s="28">
        <f t="shared" si="2"/>
        <v>7.8025419098877918E-2</v>
      </c>
    </row>
    <row r="117" spans="2:4" x14ac:dyDescent="0.3">
      <c r="B117">
        <v>108</v>
      </c>
      <c r="C117" s="28">
        <f t="shared" si="4"/>
        <v>172137.47906146795</v>
      </c>
      <c r="D117" s="28">
        <f t="shared" si="2"/>
        <v>7.0474132792860314E-2</v>
      </c>
    </row>
    <row r="118" spans="2:4" x14ac:dyDescent="0.3">
      <c r="B118">
        <v>109</v>
      </c>
      <c r="C118" s="28">
        <f t="shared" ref="C118:C171" si="5">C117*(1+$C$5)</f>
        <v>178162.29082861933</v>
      </c>
      <c r="D118" s="28">
        <f t="shared" ref="D118:D171" si="6">C118/(1+$C$6)^B118</f>
        <v>6.3653658644393443E-2</v>
      </c>
    </row>
    <row r="119" spans="2:4" x14ac:dyDescent="0.3">
      <c r="B119">
        <v>110</v>
      </c>
      <c r="C119" s="28">
        <f t="shared" si="5"/>
        <v>184397.971007621</v>
      </c>
      <c r="D119" s="28">
        <f t="shared" si="6"/>
        <v>5.7493268781697533E-2</v>
      </c>
    </row>
    <row r="120" spans="2:4" x14ac:dyDescent="0.3">
      <c r="B120">
        <v>111</v>
      </c>
      <c r="C120" s="28">
        <f t="shared" si="5"/>
        <v>190851.89999288772</v>
      </c>
      <c r="D120" s="28">
        <f t="shared" si="6"/>
        <v>5.1929080363955799E-2</v>
      </c>
    </row>
    <row r="121" spans="2:4" x14ac:dyDescent="0.3">
      <c r="B121">
        <v>112</v>
      </c>
      <c r="C121" s="28">
        <f t="shared" si="5"/>
        <v>197531.71649263878</v>
      </c>
      <c r="D121" s="28">
        <f t="shared" si="6"/>
        <v>4.6903393120424339E-2</v>
      </c>
    </row>
    <row r="122" spans="2:4" x14ac:dyDescent="0.3">
      <c r="B122">
        <v>113</v>
      </c>
      <c r="C122" s="28">
        <f t="shared" si="5"/>
        <v>204445.32656988112</v>
      </c>
      <c r="D122" s="28">
        <f t="shared" si="6"/>
        <v>4.2364091002390435E-2</v>
      </c>
    </row>
    <row r="123" spans="2:4" x14ac:dyDescent="0.3">
      <c r="B123">
        <v>114</v>
      </c>
      <c r="C123" s="28">
        <f t="shared" si="5"/>
        <v>211600.91299982695</v>
      </c>
      <c r="D123" s="28">
        <f t="shared" si="6"/>
        <v>3.8264101743148704E-2</v>
      </c>
    </row>
    <row r="124" spans="2:4" x14ac:dyDescent="0.3">
      <c r="B124">
        <v>115</v>
      </c>
      <c r="C124" s="28">
        <f t="shared" si="5"/>
        <v>219006.94495482088</v>
      </c>
      <c r="D124" s="28">
        <f t="shared" si="6"/>
        <v>3.4560908721667609E-2</v>
      </c>
    </row>
    <row r="125" spans="2:4" x14ac:dyDescent="0.3">
      <c r="B125">
        <v>116</v>
      </c>
      <c r="C125" s="28">
        <f t="shared" si="5"/>
        <v>226672.18802823959</v>
      </c>
      <c r="D125" s="28">
        <f t="shared" si="6"/>
        <v>3.1216110068004163E-2</v>
      </c>
    </row>
    <row r="126" spans="2:4" x14ac:dyDescent="0.3">
      <c r="B126">
        <v>117</v>
      </c>
      <c r="C126" s="28">
        <f t="shared" si="5"/>
        <v>234605.71460922796</v>
      </c>
      <c r="D126" s="28">
        <f t="shared" si="6"/>
        <v>2.8195020438418979E-2</v>
      </c>
    </row>
    <row r="127" spans="2:4" x14ac:dyDescent="0.3">
      <c r="B127">
        <v>118</v>
      </c>
      <c r="C127" s="28">
        <f t="shared" si="5"/>
        <v>242816.91462055093</v>
      </c>
      <c r="D127" s="28">
        <f t="shared" si="6"/>
        <v>2.5466311330625404E-2</v>
      </c>
    </row>
    <row r="128" spans="2:4" x14ac:dyDescent="0.3">
      <c r="B128">
        <v>119</v>
      </c>
      <c r="C128" s="28">
        <f t="shared" si="5"/>
        <v>251315.5066322702</v>
      </c>
      <c r="D128" s="28">
        <f t="shared" si="6"/>
        <v>2.3001686209265463E-2</v>
      </c>
    </row>
    <row r="129" spans="2:4" x14ac:dyDescent="0.3">
      <c r="B129">
        <v>120</v>
      </c>
      <c r="C129" s="28">
        <f t="shared" si="5"/>
        <v>260111.54936439963</v>
      </c>
      <c r="D129" s="28">
        <f t="shared" si="6"/>
        <v>2.0775587072685012E-2</v>
      </c>
    </row>
    <row r="130" spans="2:4" x14ac:dyDescent="0.3">
      <c r="B130">
        <v>121</v>
      </c>
      <c r="C130" s="28">
        <f t="shared" si="5"/>
        <v>269215.45359215362</v>
      </c>
      <c r="D130" s="28">
        <f t="shared" si="6"/>
        <v>1.8764929418124607E-2</v>
      </c>
    </row>
    <row r="131" spans="2:4" x14ac:dyDescent="0.3">
      <c r="B131">
        <v>122</v>
      </c>
      <c r="C131" s="28">
        <f t="shared" si="5"/>
        <v>278637.99446787895</v>
      </c>
      <c r="D131" s="28">
        <f t="shared" si="6"/>
        <v>1.6948862856932513E-2</v>
      </c>
    </row>
    <row r="132" spans="2:4" x14ac:dyDescent="0.3">
      <c r="B132">
        <v>123</v>
      </c>
      <c r="C132" s="28">
        <f t="shared" si="5"/>
        <v>288390.32427425467</v>
      </c>
      <c r="D132" s="28">
        <f t="shared" si="6"/>
        <v>1.5308554897395193E-2</v>
      </c>
    </row>
    <row r="133" spans="2:4" x14ac:dyDescent="0.3">
      <c r="B133">
        <v>124</v>
      </c>
      <c r="C133" s="28">
        <f t="shared" si="5"/>
        <v>298483.98562385357</v>
      </c>
      <c r="D133" s="28">
        <f t="shared" si="6"/>
        <v>1.3826995653027339E-2</v>
      </c>
    </row>
    <row r="134" spans="2:4" x14ac:dyDescent="0.3">
      <c r="B134">
        <v>125</v>
      </c>
      <c r="C134" s="28">
        <f t="shared" si="5"/>
        <v>308930.92512068845</v>
      </c>
      <c r="D134" s="28">
        <f t="shared" si="6"/>
        <v>1.2488821451159173E-2</v>
      </c>
    </row>
    <row r="135" spans="2:4" x14ac:dyDescent="0.3">
      <c r="B135">
        <v>126</v>
      </c>
      <c r="C135" s="28">
        <f t="shared" si="5"/>
        <v>319743.50749991252</v>
      </c>
      <c r="D135" s="28">
        <f t="shared" si="6"/>
        <v>1.1280155512653585E-2</v>
      </c>
    </row>
    <row r="136" spans="2:4" x14ac:dyDescent="0.3">
      <c r="B136">
        <v>127</v>
      </c>
      <c r="C136" s="28">
        <f t="shared" si="5"/>
        <v>330934.53026240942</v>
      </c>
      <c r="D136" s="28">
        <f t="shared" si="6"/>
        <v>1.0188464050612148E-2</v>
      </c>
    </row>
    <row r="137" spans="2:4" x14ac:dyDescent="0.3">
      <c r="B137">
        <v>128</v>
      </c>
      <c r="C137" s="28">
        <f t="shared" si="5"/>
        <v>342517.2388215937</v>
      </c>
      <c r="D137" s="28">
        <f t="shared" si="6"/>
        <v>9.202426295822996E-3</v>
      </c>
    </row>
    <row r="138" spans="2:4" x14ac:dyDescent="0.3">
      <c r="B138">
        <v>129</v>
      </c>
      <c r="C138" s="28">
        <f t="shared" si="5"/>
        <v>354505.34218034946</v>
      </c>
      <c r="D138" s="28">
        <f t="shared" si="6"/>
        <v>8.3118171011229616E-3</v>
      </c>
    </row>
    <row r="139" spans="2:4" x14ac:dyDescent="0.3">
      <c r="B139">
        <v>130</v>
      </c>
      <c r="C139" s="28">
        <f t="shared" si="5"/>
        <v>366913.02915666165</v>
      </c>
      <c r="D139" s="28">
        <f t="shared" si="6"/>
        <v>7.5074009072888257E-3</v>
      </c>
    </row>
    <row r="140" spans="2:4" x14ac:dyDescent="0.3">
      <c r="B140">
        <v>131</v>
      </c>
      <c r="C140" s="28">
        <f t="shared" si="5"/>
        <v>379754.98517714476</v>
      </c>
      <c r="D140" s="28">
        <f t="shared" si="6"/>
        <v>6.7808359708909447E-3</v>
      </c>
    </row>
    <row r="141" spans="2:4" x14ac:dyDescent="0.3">
      <c r="B141">
        <v>132</v>
      </c>
      <c r="C141" s="28">
        <f t="shared" si="5"/>
        <v>393046.40965834481</v>
      </c>
      <c r="D141" s="28">
        <f t="shared" si="6"/>
        <v>6.1245878609583106E-3</v>
      </c>
    </row>
    <row r="142" spans="2:4" x14ac:dyDescent="0.3">
      <c r="B142">
        <v>133</v>
      </c>
      <c r="C142" s="28">
        <f t="shared" si="5"/>
        <v>406803.03399638686</v>
      </c>
      <c r="D142" s="28">
        <f t="shared" si="6"/>
        <v>5.5318513274211119E-3</v>
      </c>
    </row>
    <row r="143" spans="2:4" x14ac:dyDescent="0.3">
      <c r="B143">
        <v>134</v>
      </c>
      <c r="C143" s="28">
        <f t="shared" si="5"/>
        <v>421041.1401862604</v>
      </c>
      <c r="D143" s="28">
        <f t="shared" si="6"/>
        <v>4.9964797311116598E-3</v>
      </c>
    </row>
    <row r="144" spans="2:4" x14ac:dyDescent="0.3">
      <c r="B144">
        <v>135</v>
      </c>
      <c r="C144" s="28">
        <f t="shared" si="5"/>
        <v>435777.58009277948</v>
      </c>
      <c r="D144" s="28">
        <f t="shared" si="6"/>
        <v>4.5129213035173818E-3</v>
      </c>
    </row>
    <row r="145" spans="2:4" x14ac:dyDescent="0.3">
      <c r="B145">
        <v>136</v>
      </c>
      <c r="C145" s="28">
        <f t="shared" si="5"/>
        <v>451029.79539602675</v>
      </c>
      <c r="D145" s="28">
        <f t="shared" si="6"/>
        <v>4.0761615753036832E-3</v>
      </c>
    </row>
    <row r="146" spans="2:4" x14ac:dyDescent="0.3">
      <c r="B146">
        <v>137</v>
      </c>
      <c r="C146" s="28">
        <f t="shared" si="5"/>
        <v>466815.83823488763</v>
      </c>
      <c r="D146" s="28">
        <f t="shared" si="6"/>
        <v>3.681671376594216E-3</v>
      </c>
    </row>
    <row r="147" spans="2:4" x14ac:dyDescent="0.3">
      <c r="B147">
        <v>138</v>
      </c>
      <c r="C147" s="28">
        <f t="shared" si="5"/>
        <v>483154.39257310866</v>
      </c>
      <c r="D147" s="28">
        <f t="shared" si="6"/>
        <v>3.3253598697748619E-3</v>
      </c>
    </row>
    <row r="148" spans="2:4" x14ac:dyDescent="0.3">
      <c r="B148">
        <v>139</v>
      </c>
      <c r="C148" s="28">
        <f t="shared" si="5"/>
        <v>500064.79631316743</v>
      </c>
      <c r="D148" s="28">
        <f t="shared" si="6"/>
        <v>3.0035321277746586E-3</v>
      </c>
    </row>
    <row r="149" spans="2:4" x14ac:dyDescent="0.3">
      <c r="B149">
        <v>140</v>
      </c>
      <c r="C149" s="28">
        <f t="shared" si="5"/>
        <v>517567.06418412825</v>
      </c>
      <c r="D149" s="28">
        <f t="shared" si="6"/>
        <v>2.7128508179132312E-3</v>
      </c>
    </row>
    <row r="150" spans="2:4" x14ac:dyDescent="0.3">
      <c r="B150">
        <v>141</v>
      </c>
      <c r="C150" s="28">
        <f t="shared" si="5"/>
        <v>535681.91143057274</v>
      </c>
      <c r="D150" s="28">
        <f t="shared" si="6"/>
        <v>2.4503015939787019E-3</v>
      </c>
    </row>
    <row r="151" spans="2:4" x14ac:dyDescent="0.3">
      <c r="B151">
        <v>142</v>
      </c>
      <c r="C151" s="28">
        <f t="shared" si="5"/>
        <v>554430.77833064273</v>
      </c>
      <c r="D151" s="28">
        <f t="shared" si="6"/>
        <v>2.2131618376542077E-3</v>
      </c>
    </row>
    <row r="152" spans="2:4" x14ac:dyDescent="0.3">
      <c r="B152">
        <v>143</v>
      </c>
      <c r="C152" s="28">
        <f t="shared" si="5"/>
        <v>573835.85557221517</v>
      </c>
      <c r="D152" s="28">
        <f t="shared" si="6"/>
        <v>1.9989724251436468E-3</v>
      </c>
    </row>
    <row r="153" spans="2:4" x14ac:dyDescent="0.3">
      <c r="B153">
        <v>144</v>
      </c>
      <c r="C153" s="28">
        <f t="shared" si="5"/>
        <v>593920.11051724269</v>
      </c>
      <c r="D153" s="28">
        <f t="shared" si="6"/>
        <v>1.8055122262184088E-3</v>
      </c>
    </row>
    <row r="154" spans="2:4" x14ac:dyDescent="0.3">
      <c r="B154">
        <v>145</v>
      </c>
      <c r="C154" s="28">
        <f t="shared" si="5"/>
        <v>614707.31438534614</v>
      </c>
      <c r="D154" s="28">
        <f t="shared" si="6"/>
        <v>1.6307750712418652E-3</v>
      </c>
    </row>
    <row r="155" spans="2:4" x14ac:dyDescent="0.3">
      <c r="B155">
        <v>146</v>
      </c>
      <c r="C155" s="28">
        <f t="shared" si="5"/>
        <v>636222.07038883318</v>
      </c>
      <c r="D155" s="28">
        <f t="shared" si="6"/>
        <v>1.4729489473211716E-3</v>
      </c>
    </row>
    <row r="156" spans="2:4" x14ac:dyDescent="0.3">
      <c r="B156">
        <v>147</v>
      </c>
      <c r="C156" s="28">
        <f t="shared" si="5"/>
        <v>658489.84285244229</v>
      </c>
      <c r="D156" s="28">
        <f t="shared" si="6"/>
        <v>1.3303972078518305E-3</v>
      </c>
    </row>
    <row r="157" spans="2:4" x14ac:dyDescent="0.3">
      <c r="B157">
        <v>148</v>
      </c>
      <c r="C157" s="28">
        <f t="shared" si="5"/>
        <v>681536.98735227773</v>
      </c>
      <c r="D157" s="28">
        <f t="shared" si="6"/>
        <v>1.2016416005992186E-3</v>
      </c>
    </row>
    <row r="158" spans="2:4" x14ac:dyDescent="0.3">
      <c r="B158">
        <v>149</v>
      </c>
      <c r="C158" s="28">
        <f t="shared" si="5"/>
        <v>705390.78190960735</v>
      </c>
      <c r="D158" s="28">
        <f t="shared" si="6"/>
        <v>1.0853469383193919E-3</v>
      </c>
    </row>
    <row r="159" spans="2:4" x14ac:dyDescent="0.3">
      <c r="B159">
        <v>150</v>
      </c>
      <c r="C159" s="28">
        <f t="shared" si="5"/>
        <v>730079.45927644358</v>
      </c>
      <c r="D159" s="28">
        <f t="shared" si="6"/>
        <v>9.8030725295450796E-4</v>
      </c>
    </row>
    <row r="160" spans="2:4" x14ac:dyDescent="0.3">
      <c r="B160">
        <v>151</v>
      </c>
      <c r="C160" s="28">
        <f t="shared" si="5"/>
        <v>755632.24035111908</v>
      </c>
      <c r="D160" s="28">
        <f t="shared" si="6"/>
        <v>8.8543328982277323E-4</v>
      </c>
    </row>
    <row r="161" spans="2:4" x14ac:dyDescent="0.3">
      <c r="B161">
        <v>152</v>
      </c>
      <c r="C161" s="28">
        <f t="shared" si="5"/>
        <v>782079.36876340816</v>
      </c>
      <c r="D161" s="28">
        <f t="shared" si="6"/>
        <v>7.9974121211848345E-4</v>
      </c>
    </row>
    <row r="162" spans="2:4" x14ac:dyDescent="0.3">
      <c r="B162">
        <v>153</v>
      </c>
      <c r="C162" s="28">
        <f t="shared" si="5"/>
        <v>809452.1466701274</v>
      </c>
      <c r="D162" s="28">
        <f t="shared" si="6"/>
        <v>7.2234239858855957E-4</v>
      </c>
    </row>
    <row r="163" spans="2:4" x14ac:dyDescent="0.3">
      <c r="B163">
        <v>154</v>
      </c>
      <c r="C163" s="28">
        <f t="shared" si="5"/>
        <v>837782.97180358181</v>
      </c>
      <c r="D163" s="28">
        <f t="shared" si="6"/>
        <v>6.5243422858814843E-4</v>
      </c>
    </row>
    <row r="164" spans="2:4" x14ac:dyDescent="0.3">
      <c r="B164">
        <v>155</v>
      </c>
      <c r="C164" s="28">
        <f t="shared" si="5"/>
        <v>867105.37581670715</v>
      </c>
      <c r="D164" s="28">
        <f t="shared" si="6"/>
        <v>5.8929175895691915E-4</v>
      </c>
    </row>
    <row r="165" spans="2:4" x14ac:dyDescent="0.3">
      <c r="B165">
        <v>156</v>
      </c>
      <c r="C165" s="28">
        <f t="shared" si="5"/>
        <v>897454.06397029187</v>
      </c>
      <c r="D165" s="28">
        <f t="shared" si="6"/>
        <v>5.3226020640580445E-4</v>
      </c>
    </row>
    <row r="166" spans="2:4" x14ac:dyDescent="0.3">
      <c r="B166">
        <v>157</v>
      </c>
      <c r="C166" s="28">
        <f t="shared" si="5"/>
        <v>928864.95620925201</v>
      </c>
      <c r="D166" s="28">
        <f t="shared" si="6"/>
        <v>4.8074815745702737E-4</v>
      </c>
    </row>
    <row r="167" spans="2:4" x14ac:dyDescent="0.3">
      <c r="B167">
        <v>158</v>
      </c>
      <c r="C167" s="28">
        <f t="shared" si="5"/>
        <v>961375.22967657575</v>
      </c>
      <c r="D167" s="28">
        <f t="shared" si="6"/>
        <v>4.3422143552493517E-4</v>
      </c>
    </row>
    <row r="168" spans="2:4" x14ac:dyDescent="0.3">
      <c r="B168">
        <v>159</v>
      </c>
      <c r="C168" s="28">
        <f t="shared" si="5"/>
        <v>995023.36271525582</v>
      </c>
      <c r="D168" s="28">
        <f t="shared" si="6"/>
        <v>3.9219756153967012E-4</v>
      </c>
    </row>
    <row r="169" spans="2:4" x14ac:dyDescent="0.3">
      <c r="B169">
        <v>160</v>
      </c>
      <c r="C169" s="28">
        <f t="shared" si="5"/>
        <v>1029849.1804102897</v>
      </c>
      <c r="D169" s="28">
        <f t="shared" si="6"/>
        <v>3.5424075067070292E-4</v>
      </c>
    </row>
    <row r="170" spans="2:4" x14ac:dyDescent="0.3">
      <c r="B170">
        <v>161</v>
      </c>
      <c r="C170" s="28">
        <f t="shared" si="5"/>
        <v>1065893.9017246498</v>
      </c>
      <c r="D170" s="28">
        <f t="shared" si="6"/>
        <v>3.1995739326658314E-4</v>
      </c>
    </row>
    <row r="171" spans="2:4" x14ac:dyDescent="0.3">
      <c r="B171">
        <v>162</v>
      </c>
      <c r="C171" s="28">
        <f t="shared" si="5"/>
        <v>1103200.1882850125</v>
      </c>
      <c r="D171" s="28">
        <f t="shared" si="6"/>
        <v>2.8899197314854135E-4</v>
      </c>
    </row>
    <row r="172" spans="2:4" x14ac:dyDescent="0.3">
      <c r="D172" s="30">
        <f>SUM(D10:D171)</f>
        <v>39113.477916080323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61210-14D6-47CE-8DB4-F9DDBC3D9146}">
  <dimension ref="B2:E10"/>
  <sheetViews>
    <sheetView zoomScale="140" zoomScaleNormal="140" workbookViewId="0">
      <selection activeCell="D10" sqref="D10"/>
    </sheetView>
  </sheetViews>
  <sheetFormatPr defaultRowHeight="14.4" x14ac:dyDescent="0.3"/>
  <cols>
    <col min="2" max="2" width="29.77734375" customWidth="1"/>
    <col min="3" max="3" width="21.77734375" customWidth="1"/>
    <col min="4" max="4" width="25.109375" customWidth="1"/>
    <col min="5" max="5" width="35" customWidth="1"/>
  </cols>
  <sheetData>
    <row r="2" spans="2:5" x14ac:dyDescent="0.3">
      <c r="B2" t="s">
        <v>45</v>
      </c>
      <c r="D2" s="40">
        <v>3200</v>
      </c>
    </row>
    <row r="4" spans="2:5" x14ac:dyDescent="0.3">
      <c r="B4" s="33" t="s">
        <v>28</v>
      </c>
      <c r="C4" s="33" t="s">
        <v>29</v>
      </c>
      <c r="D4" s="33" t="s">
        <v>30</v>
      </c>
      <c r="E4" s="33" t="s">
        <v>31</v>
      </c>
    </row>
    <row r="5" spans="2:5" ht="28.8" x14ac:dyDescent="0.3">
      <c r="B5" s="34" t="s">
        <v>32</v>
      </c>
      <c r="C5" s="35" t="s">
        <v>33</v>
      </c>
      <c r="D5" s="35">
        <v>480</v>
      </c>
      <c r="E5" s="35" t="s">
        <v>34</v>
      </c>
    </row>
    <row r="6" spans="2:5" ht="28.8" x14ac:dyDescent="0.3">
      <c r="B6" s="34" t="s">
        <v>35</v>
      </c>
      <c r="C6" s="35" t="s">
        <v>33</v>
      </c>
      <c r="D6" s="35">
        <v>180</v>
      </c>
      <c r="E6" s="35" t="s">
        <v>36</v>
      </c>
    </row>
    <row r="7" spans="2:5" ht="43.2" x14ac:dyDescent="0.3">
      <c r="B7" s="34" t="s">
        <v>37</v>
      </c>
      <c r="C7" s="35" t="s">
        <v>38</v>
      </c>
      <c r="D7" s="35">
        <v>-310</v>
      </c>
      <c r="E7" s="35" t="s">
        <v>39</v>
      </c>
    </row>
    <row r="8" spans="2:5" ht="28.8" x14ac:dyDescent="0.3">
      <c r="B8" s="34" t="s">
        <v>40</v>
      </c>
      <c r="C8" s="35" t="s">
        <v>33</v>
      </c>
      <c r="D8" s="35">
        <v>95</v>
      </c>
      <c r="E8" s="35" t="s">
        <v>41</v>
      </c>
    </row>
    <row r="9" spans="2:5" ht="28.8" x14ac:dyDescent="0.3">
      <c r="B9" s="34" t="s">
        <v>42</v>
      </c>
      <c r="C9" s="35" t="s">
        <v>38</v>
      </c>
      <c r="D9" s="35">
        <v>-60</v>
      </c>
      <c r="E9" s="35" t="s">
        <v>43</v>
      </c>
    </row>
    <row r="10" spans="2:5" x14ac:dyDescent="0.3">
      <c r="B10" s="36" t="s">
        <v>44</v>
      </c>
      <c r="C10" s="37"/>
      <c r="D10" s="38">
        <f>D2+D5+D6+D7+D8+D9</f>
        <v>3585</v>
      </c>
      <c r="E10" s="37"/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0CC97-4A1D-45A5-9A5E-3927628DF88D}">
  <dimension ref="B2:H14"/>
  <sheetViews>
    <sheetView zoomScale="150" zoomScaleNormal="150" workbookViewId="0">
      <selection activeCell="C14" sqref="C14"/>
    </sheetView>
  </sheetViews>
  <sheetFormatPr defaultRowHeight="14.4" x14ac:dyDescent="0.3"/>
  <cols>
    <col min="2" max="2" width="30" customWidth="1"/>
    <col min="3" max="3" width="18.77734375" customWidth="1"/>
    <col min="5" max="5" width="20.5546875" customWidth="1"/>
    <col min="6" max="6" width="17.33203125" customWidth="1"/>
    <col min="7" max="7" width="16.77734375" customWidth="1"/>
    <col min="8" max="8" width="17" customWidth="1"/>
  </cols>
  <sheetData>
    <row r="2" spans="2:8" x14ac:dyDescent="0.3">
      <c r="B2" t="s">
        <v>44</v>
      </c>
      <c r="C2" s="40">
        <f>'Atividade 1'!D10</f>
        <v>3585</v>
      </c>
      <c r="E2" s="33" t="s">
        <v>56</v>
      </c>
      <c r="F2" s="33" t="s">
        <v>59</v>
      </c>
      <c r="G2" s="33" t="s">
        <v>57</v>
      </c>
      <c r="H2" s="33" t="s">
        <v>61</v>
      </c>
    </row>
    <row r="3" spans="2:8" x14ac:dyDescent="0.3">
      <c r="B3" t="s">
        <v>51</v>
      </c>
      <c r="C3" s="25">
        <v>280</v>
      </c>
      <c r="E3" s="35">
        <v>1</v>
      </c>
      <c r="F3" s="43">
        <f>C11*(1+$C$14)</f>
        <v>2157.4410000000003</v>
      </c>
      <c r="G3" s="35">
        <f>(1+$C$13)^1</f>
        <v>1.1320000000000001</v>
      </c>
      <c r="H3" s="43">
        <f>F3/G3</f>
        <v>1905.8666077738517</v>
      </c>
    </row>
    <row r="4" spans="2:8" x14ac:dyDescent="0.3">
      <c r="B4" t="s">
        <v>52</v>
      </c>
      <c r="C4" s="25">
        <v>380</v>
      </c>
      <c r="E4" s="35">
        <v>2</v>
      </c>
      <c r="F4" s="43">
        <f>F3*(1+$C$14)</f>
        <v>2308.4618700000005</v>
      </c>
      <c r="G4" s="35">
        <f>(1+$C$13)^2</f>
        <v>1.2814240000000003</v>
      </c>
      <c r="H4" s="43">
        <f t="shared" ref="H4:H7" si="0">F4/G4</f>
        <v>1801.4816875600893</v>
      </c>
    </row>
    <row r="5" spans="2:8" x14ac:dyDescent="0.3">
      <c r="B5" t="s">
        <v>53</v>
      </c>
      <c r="C5" s="25">
        <v>65</v>
      </c>
      <c r="E5" s="35">
        <v>3</v>
      </c>
      <c r="F5" s="43">
        <f>F4*(1+$C$14)</f>
        <v>2470.0542009000005</v>
      </c>
      <c r="G5" s="35">
        <f>(1+$C$13)^3</f>
        <v>1.4505719680000004</v>
      </c>
      <c r="H5" s="43">
        <f t="shared" si="0"/>
        <v>1702.8139626230525</v>
      </c>
    </row>
    <row r="6" spans="2:8" x14ac:dyDescent="0.3">
      <c r="B6" t="s">
        <v>54</v>
      </c>
      <c r="C6" s="41">
        <v>0.34</v>
      </c>
      <c r="E6" s="35">
        <v>4</v>
      </c>
      <c r="F6" s="43">
        <f>F5*(1+$C$14)</f>
        <v>2642.9579949630006</v>
      </c>
      <c r="G6" s="35">
        <f>(1+$C$13)^4</f>
        <v>1.6420474677760009</v>
      </c>
      <c r="H6" s="43">
        <f t="shared" si="0"/>
        <v>1609.5503003592455</v>
      </c>
    </row>
    <row r="7" spans="2:8" x14ac:dyDescent="0.3">
      <c r="E7" s="35">
        <v>5</v>
      </c>
      <c r="F7" s="57">
        <f>F6*(1+$C$14)</f>
        <v>2827.9650546104108</v>
      </c>
      <c r="G7" s="35">
        <f>(1+$C$13)^5</f>
        <v>1.8587977335224333</v>
      </c>
      <c r="H7" s="43">
        <f t="shared" si="0"/>
        <v>1521.3947185374491</v>
      </c>
    </row>
    <row r="8" spans="2:8" x14ac:dyDescent="0.3">
      <c r="B8" s="33" t="s">
        <v>46</v>
      </c>
      <c r="C8" s="33" t="s">
        <v>48</v>
      </c>
      <c r="E8" s="33" t="s">
        <v>60</v>
      </c>
      <c r="F8" s="44">
        <f>SUM(F3:F7)</f>
        <v>12406.880120473414</v>
      </c>
      <c r="G8" s="33"/>
      <c r="H8" s="44">
        <f>SUM(H3:H7)</f>
        <v>8541.1072768536869</v>
      </c>
    </row>
    <row r="9" spans="2:8" x14ac:dyDescent="0.3">
      <c r="B9" s="34" t="s">
        <v>49</v>
      </c>
      <c r="C9" s="43">
        <f>C2-C3</f>
        <v>3305</v>
      </c>
    </row>
    <row r="10" spans="2:8" x14ac:dyDescent="0.3">
      <c r="B10" s="34" t="s">
        <v>50</v>
      </c>
      <c r="C10" s="42">
        <f>C9*C6</f>
        <v>1123.7</v>
      </c>
      <c r="F10" s="25" t="s">
        <v>62</v>
      </c>
    </row>
    <row r="11" spans="2:8" x14ac:dyDescent="0.3">
      <c r="B11" s="67" t="s">
        <v>58</v>
      </c>
      <c r="C11" s="57">
        <f>C2-C10-C4-C5</f>
        <v>2016.3000000000002</v>
      </c>
      <c r="D11" t="str">
        <f ca="1">_xlfn.FORMULATEXT(C11)</f>
        <v>=C2-C10-C4-C5</v>
      </c>
    </row>
    <row r="13" spans="2:8" x14ac:dyDescent="0.3">
      <c r="B13" t="s">
        <v>24</v>
      </c>
      <c r="C13" s="27">
        <v>0.13200000000000001</v>
      </c>
    </row>
    <row r="14" spans="2:8" x14ac:dyDescent="0.3">
      <c r="B14" t="s">
        <v>55</v>
      </c>
      <c r="C14" s="41">
        <v>7.0000000000000007E-2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F84A0-1AAB-48A3-B12D-FB656C54E5B0}">
  <dimension ref="B2:F9"/>
  <sheetViews>
    <sheetView zoomScale="180" zoomScaleNormal="180" workbookViewId="0">
      <selection activeCell="F11" sqref="F11"/>
    </sheetView>
  </sheetViews>
  <sheetFormatPr defaultRowHeight="14.4" x14ac:dyDescent="0.3"/>
  <cols>
    <col min="2" max="2" width="19.44140625" bestFit="1" customWidth="1"/>
    <col min="3" max="3" width="14.88671875" bestFit="1" customWidth="1"/>
    <col min="5" max="5" width="12.5546875" bestFit="1" customWidth="1"/>
  </cols>
  <sheetData>
    <row r="2" spans="2:6" x14ac:dyDescent="0.3">
      <c r="B2" t="s">
        <v>63</v>
      </c>
      <c r="C2" s="26">
        <v>2000000</v>
      </c>
      <c r="E2" s="22" t="s">
        <v>70</v>
      </c>
      <c r="F2" s="54">
        <f>C3*(1-C5)</f>
        <v>0.16499999999999998</v>
      </c>
    </row>
    <row r="3" spans="2:6" x14ac:dyDescent="0.3">
      <c r="B3" t="s">
        <v>64</v>
      </c>
      <c r="C3" s="41">
        <v>0.25</v>
      </c>
    </row>
    <row r="4" spans="2:6" x14ac:dyDescent="0.3">
      <c r="B4" s="22" t="s">
        <v>65</v>
      </c>
      <c r="C4" s="29">
        <f>C3*C2</f>
        <v>500000</v>
      </c>
      <c r="E4" s="28"/>
    </row>
    <row r="5" spans="2:6" x14ac:dyDescent="0.3">
      <c r="B5" t="s">
        <v>66</v>
      </c>
      <c r="C5" s="41">
        <v>0.34</v>
      </c>
    </row>
    <row r="6" spans="2:6" x14ac:dyDescent="0.3">
      <c r="B6" s="22" t="s">
        <v>67</v>
      </c>
      <c r="C6" s="29">
        <f>C5*C4</f>
        <v>170000</v>
      </c>
    </row>
    <row r="8" spans="2:6" x14ac:dyDescent="0.3">
      <c r="B8" t="s">
        <v>68</v>
      </c>
      <c r="C8" s="26">
        <f>C4-C6</f>
        <v>330000</v>
      </c>
    </row>
    <row r="9" spans="2:6" x14ac:dyDescent="0.3">
      <c r="B9" s="22" t="s">
        <v>69</v>
      </c>
      <c r="C9" s="68">
        <f>C8/C2</f>
        <v>0.16500000000000001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3FACB-1B23-489D-9243-98F97A239B5A}">
  <dimension ref="B2:G14"/>
  <sheetViews>
    <sheetView zoomScale="170" zoomScaleNormal="170" workbookViewId="0">
      <selection activeCell="B14" sqref="B14:C14"/>
    </sheetView>
  </sheetViews>
  <sheetFormatPr defaultRowHeight="14.4" x14ac:dyDescent="0.3"/>
  <cols>
    <col min="2" max="2" width="14.109375" customWidth="1"/>
    <col min="3" max="3" width="12" customWidth="1"/>
    <col min="4" max="4" width="14" customWidth="1"/>
    <col min="5" max="5" width="12.21875" customWidth="1"/>
    <col min="7" max="7" width="18.44140625" bestFit="1" customWidth="1"/>
  </cols>
  <sheetData>
    <row r="2" spans="2:7" ht="15.6" x14ac:dyDescent="0.3">
      <c r="B2" s="46" t="s">
        <v>71</v>
      </c>
      <c r="C2" s="46" t="s">
        <v>72</v>
      </c>
      <c r="D2" s="46" t="s">
        <v>73</v>
      </c>
      <c r="E2" s="46" t="s">
        <v>74</v>
      </c>
      <c r="F2" s="46" t="s">
        <v>75</v>
      </c>
    </row>
    <row r="3" spans="2:7" ht="15.6" x14ac:dyDescent="0.3">
      <c r="B3" s="47">
        <v>1</v>
      </c>
      <c r="C3" s="47">
        <v>1.23</v>
      </c>
      <c r="D3" s="48">
        <v>0.34</v>
      </c>
      <c r="E3" s="48">
        <v>0.55000000000000004</v>
      </c>
      <c r="F3" s="49">
        <f>C3/(1+(E3*(1-D3)))</f>
        <v>0.90242112986060163</v>
      </c>
      <c r="G3" t="str">
        <f ca="1">_xlfn.FORMULATEXT(F3)</f>
        <v>=C3/(1+(E3*(1-D3)))</v>
      </c>
    </row>
    <row r="4" spans="2:7" ht="15.6" x14ac:dyDescent="0.3">
      <c r="B4" s="47">
        <v>2</v>
      </c>
      <c r="C4" s="47">
        <v>0.98</v>
      </c>
      <c r="D4" s="48">
        <v>0.34</v>
      </c>
      <c r="E4" s="48">
        <v>0.37</v>
      </c>
      <c r="F4" s="49">
        <f t="shared" ref="F4:F8" si="0">C4/(1+(E4*(1-D4)))</f>
        <v>0.78765471789101427</v>
      </c>
      <c r="G4" t="str">
        <f t="shared" ref="G4:G8" ca="1" si="1">_xlfn.FORMULATEXT(F4)</f>
        <v>=C4/(1+(E4*(1-D4)))</v>
      </c>
    </row>
    <row r="5" spans="2:7" ht="15.6" x14ac:dyDescent="0.3">
      <c r="B5" s="47">
        <v>3</v>
      </c>
      <c r="C5" s="47">
        <v>1.44</v>
      </c>
      <c r="D5" s="48">
        <v>0.34</v>
      </c>
      <c r="E5" s="48">
        <v>0.75</v>
      </c>
      <c r="F5" s="49">
        <f t="shared" si="0"/>
        <v>0.96321070234113715</v>
      </c>
      <c r="G5" t="str">
        <f t="shared" ca="1" si="1"/>
        <v>=C5/(1+(E5*(1-D5)))</v>
      </c>
    </row>
    <row r="6" spans="2:7" ht="15.6" x14ac:dyDescent="0.3">
      <c r="B6" s="47">
        <v>4</v>
      </c>
      <c r="C6" s="47">
        <v>1.04</v>
      </c>
      <c r="D6" s="48">
        <v>0.34</v>
      </c>
      <c r="E6" s="48">
        <v>0.47</v>
      </c>
      <c r="F6" s="49">
        <f t="shared" si="0"/>
        <v>0.7937719432147764</v>
      </c>
      <c r="G6" t="str">
        <f t="shared" ca="1" si="1"/>
        <v>=C6/(1+(E6*(1-D6)))</v>
      </c>
    </row>
    <row r="7" spans="2:7" ht="15.6" x14ac:dyDescent="0.3">
      <c r="B7" s="47">
        <v>5</v>
      </c>
      <c r="C7" s="47">
        <v>1.08</v>
      </c>
      <c r="D7" s="48">
        <v>0.34</v>
      </c>
      <c r="E7" s="48">
        <v>0.61</v>
      </c>
      <c r="F7" s="49">
        <f t="shared" si="0"/>
        <v>0.76999857407671468</v>
      </c>
      <c r="G7" t="str">
        <f t="shared" ca="1" si="1"/>
        <v>=C7/(1+(E7*(1-D7)))</v>
      </c>
    </row>
    <row r="8" spans="2:7" ht="15.6" x14ac:dyDescent="0.3">
      <c r="B8" s="47">
        <v>6</v>
      </c>
      <c r="C8" s="47">
        <v>0.92</v>
      </c>
      <c r="D8" s="48">
        <v>0.34</v>
      </c>
      <c r="E8" s="48">
        <v>0.62</v>
      </c>
      <c r="F8" s="49">
        <f t="shared" si="0"/>
        <v>0.65285268237297756</v>
      </c>
      <c r="G8" t="str">
        <f t="shared" ca="1" si="1"/>
        <v>=C8/(1+(E8*(1-D8)))</v>
      </c>
    </row>
    <row r="10" spans="2:7" x14ac:dyDescent="0.3">
      <c r="B10" s="78" t="s">
        <v>76</v>
      </c>
      <c r="C10" s="78"/>
      <c r="D10" s="78"/>
      <c r="E10" s="78"/>
      <c r="F10" s="78"/>
      <c r="G10" s="78"/>
    </row>
    <row r="12" spans="2:7" x14ac:dyDescent="0.3">
      <c r="B12" t="s">
        <v>77</v>
      </c>
      <c r="C12" s="25">
        <v>0.79</v>
      </c>
    </row>
    <row r="13" spans="2:7" x14ac:dyDescent="0.3">
      <c r="B13" t="s">
        <v>74</v>
      </c>
      <c r="C13" s="41">
        <v>0.88</v>
      </c>
    </row>
    <row r="14" spans="2:7" x14ac:dyDescent="0.3">
      <c r="B14" s="22" t="s">
        <v>78</v>
      </c>
      <c r="C14" s="79">
        <f>C12*(1+(C13*(1-D3)))</f>
        <v>1.2488319999999999</v>
      </c>
      <c r="D14" t="str">
        <f ca="1">_xlfn.FORMULATEXT(C14)</f>
        <v>=C12*(1+(C13*(1-D3)))</v>
      </c>
    </row>
  </sheetData>
  <mergeCells count="1">
    <mergeCell ref="B10:G10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22680-010E-43DF-89A4-FA3ADE772979}">
  <dimension ref="B2:G10"/>
  <sheetViews>
    <sheetView zoomScale="170" zoomScaleNormal="170" workbookViewId="0">
      <selection activeCell="F7" sqref="F7"/>
    </sheetView>
  </sheetViews>
  <sheetFormatPr defaultRowHeight="14.4" x14ac:dyDescent="0.3"/>
  <cols>
    <col min="2" max="2" width="42.77734375" customWidth="1"/>
    <col min="3" max="3" width="21" customWidth="1"/>
    <col min="7" max="7" width="15.88671875" bestFit="1" customWidth="1"/>
  </cols>
  <sheetData>
    <row r="2" spans="2:7" x14ac:dyDescent="0.3">
      <c r="B2" s="33" t="s">
        <v>79</v>
      </c>
      <c r="C2" s="33" t="s">
        <v>80</v>
      </c>
    </row>
    <row r="3" spans="2:7" x14ac:dyDescent="0.3">
      <c r="B3" s="34" t="s">
        <v>81</v>
      </c>
      <c r="C3" s="35">
        <v>0.94</v>
      </c>
      <c r="E3" s="25" t="s">
        <v>89</v>
      </c>
      <c r="F3" s="27">
        <f>C4+(C3*C5)+C6</f>
        <v>0.124</v>
      </c>
      <c r="G3" t="str">
        <f ca="1">_xlfn.FORMULATEXT(F3)</f>
        <v>=C4+(C3*C5)+C6</v>
      </c>
    </row>
    <row r="4" spans="2:7" x14ac:dyDescent="0.3">
      <c r="B4" s="34" t="s">
        <v>88</v>
      </c>
      <c r="C4" s="52">
        <v>5.5E-2</v>
      </c>
      <c r="E4" s="25" t="s">
        <v>90</v>
      </c>
      <c r="F4" s="27">
        <f>C7*(1-C8)</f>
        <v>7.9199999999999993E-2</v>
      </c>
      <c r="G4" t="str">
        <f ca="1">_xlfn.FORMULATEXT(F4)</f>
        <v>=C7*(1-C8)</v>
      </c>
    </row>
    <row r="5" spans="2:7" x14ac:dyDescent="0.3">
      <c r="B5" s="34" t="s">
        <v>87</v>
      </c>
      <c r="C5" s="51">
        <v>0.05</v>
      </c>
      <c r="E5" s="25" t="s">
        <v>91</v>
      </c>
      <c r="F5" s="41">
        <f>C9</f>
        <v>0.68</v>
      </c>
      <c r="G5" t="str">
        <f ca="1">_xlfn.FORMULATEXT(F5)</f>
        <v>=C9</v>
      </c>
    </row>
    <row r="6" spans="2:7" x14ac:dyDescent="0.3">
      <c r="B6" s="34" t="s">
        <v>82</v>
      </c>
      <c r="C6" s="52">
        <v>2.1999999999999999E-2</v>
      </c>
      <c r="E6" s="25" t="s">
        <v>92</v>
      </c>
      <c r="F6" s="41">
        <f>C10</f>
        <v>0.32</v>
      </c>
      <c r="G6" t="str">
        <f ca="1">_xlfn.FORMULATEXT(F6)</f>
        <v>=C10</v>
      </c>
    </row>
    <row r="7" spans="2:7" x14ac:dyDescent="0.3">
      <c r="B7" s="34" t="s">
        <v>83</v>
      </c>
      <c r="C7" s="51">
        <v>0.12</v>
      </c>
      <c r="E7" s="53" t="s">
        <v>24</v>
      </c>
      <c r="F7" s="54">
        <f>(F3*F5)+(F4*F6)</f>
        <v>0.10966400000000001</v>
      </c>
      <c r="G7" t="str">
        <f ca="1">_xlfn.FORMULATEXT(F7)</f>
        <v>=(F3*F5)+(F4*F6)</v>
      </c>
    </row>
    <row r="8" spans="2:7" x14ac:dyDescent="0.3">
      <c r="B8" s="34" t="s">
        <v>84</v>
      </c>
      <c r="C8" s="51">
        <v>0.34</v>
      </c>
    </row>
    <row r="9" spans="2:7" x14ac:dyDescent="0.3">
      <c r="B9" s="34" t="s">
        <v>85</v>
      </c>
      <c r="C9" s="51">
        <v>0.68</v>
      </c>
    </row>
    <row r="10" spans="2:7" x14ac:dyDescent="0.3">
      <c r="B10" s="34" t="s">
        <v>86</v>
      </c>
      <c r="C10" s="51">
        <v>0.32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E46C7-F8D1-4727-B38A-712720288217}">
  <dimension ref="B2:G10"/>
  <sheetViews>
    <sheetView zoomScale="160" zoomScaleNormal="160" workbookViewId="0">
      <selection activeCell="E12" sqref="E12"/>
    </sheetView>
  </sheetViews>
  <sheetFormatPr defaultRowHeight="14.4" x14ac:dyDescent="0.3"/>
  <cols>
    <col min="2" max="2" width="24.21875" customWidth="1"/>
    <col min="3" max="3" width="23.21875" customWidth="1"/>
    <col min="4" max="4" width="18.5546875" customWidth="1"/>
    <col min="5" max="5" width="20" customWidth="1"/>
    <col min="6" max="6" width="14.77734375" customWidth="1"/>
    <col min="7" max="7" width="18" bestFit="1" customWidth="1"/>
  </cols>
  <sheetData>
    <row r="2" spans="2:7" ht="15.6" x14ac:dyDescent="0.3">
      <c r="B2" s="31" t="s">
        <v>93</v>
      </c>
      <c r="C2" s="31" t="s">
        <v>94</v>
      </c>
      <c r="D2" s="31" t="s">
        <v>95</v>
      </c>
      <c r="E2" s="31" t="s">
        <v>96</v>
      </c>
      <c r="F2" s="31" t="s">
        <v>75</v>
      </c>
    </row>
    <row r="3" spans="2:7" ht="15.6" x14ac:dyDescent="0.3">
      <c r="B3" s="32" t="s">
        <v>97</v>
      </c>
      <c r="C3" s="32">
        <v>1.25</v>
      </c>
      <c r="D3" s="56">
        <v>0.45</v>
      </c>
      <c r="E3" s="55">
        <v>0.34</v>
      </c>
      <c r="F3" s="56">
        <f>C3/(1+(D3*(1-E3)))</f>
        <v>0.96376252891287595</v>
      </c>
      <c r="G3" t="str">
        <f ca="1">_xlfn.FORMULATEXT(F3)</f>
        <v>=C3/(1+(D3*(1-E3)))</v>
      </c>
    </row>
    <row r="4" spans="2:7" ht="15.6" x14ac:dyDescent="0.3">
      <c r="B4" s="32" t="s">
        <v>98</v>
      </c>
      <c r="C4" s="56">
        <v>1.1000000000000001</v>
      </c>
      <c r="D4" s="56">
        <v>0.3</v>
      </c>
      <c r="E4" s="55">
        <v>0.34</v>
      </c>
      <c r="F4" s="56">
        <f t="shared" ref="F4:F5" si="0">C4/(1+(D4*(1-E4)))</f>
        <v>0.91819699499165286</v>
      </c>
      <c r="G4" t="str">
        <f t="shared" ref="G4:G5" ca="1" si="1">_xlfn.FORMULATEXT(F4)</f>
        <v>=C4/(1+(D4*(1-E4)))</v>
      </c>
    </row>
    <row r="5" spans="2:7" ht="15.6" x14ac:dyDescent="0.3">
      <c r="B5" s="32" t="s">
        <v>99</v>
      </c>
      <c r="C5" s="56">
        <v>1.4</v>
      </c>
      <c r="D5" s="56">
        <v>0.6</v>
      </c>
      <c r="E5" s="55">
        <v>0.25</v>
      </c>
      <c r="F5" s="56">
        <f t="shared" si="0"/>
        <v>0.96551724137931028</v>
      </c>
      <c r="G5" t="str">
        <f t="shared" ca="1" si="1"/>
        <v>=C5/(1+(D5*(1-E5)))</v>
      </c>
    </row>
    <row r="7" spans="2:7" x14ac:dyDescent="0.3">
      <c r="B7" s="25" t="s">
        <v>77</v>
      </c>
      <c r="C7" s="39">
        <f>F3</f>
        <v>0.96376252891287595</v>
      </c>
      <c r="D7" s="25" t="str">
        <f ca="1">_xlfn.FORMULATEXT(C7)</f>
        <v>=F3</v>
      </c>
    </row>
    <row r="8" spans="2:7" x14ac:dyDescent="0.3">
      <c r="B8" s="25" t="s">
        <v>100</v>
      </c>
      <c r="C8" s="50">
        <f>0.25/0.75</f>
        <v>0.33333333333333331</v>
      </c>
      <c r="D8" s="25" t="str">
        <f ca="1">_xlfn.FORMULATEXT(C8)</f>
        <v>=0,25/0,75</v>
      </c>
    </row>
    <row r="9" spans="2:7" x14ac:dyDescent="0.3">
      <c r="B9" s="25" t="s">
        <v>66</v>
      </c>
      <c r="C9" s="41">
        <v>0.34</v>
      </c>
    </row>
    <row r="10" spans="2:7" x14ac:dyDescent="0.3">
      <c r="B10" s="53" t="s">
        <v>101</v>
      </c>
      <c r="C10" s="79">
        <f>C7*(1+(C8*(1-C9)))</f>
        <v>1.1757902852737085</v>
      </c>
      <c r="D10" s="25" t="str">
        <f ca="1">_xlfn.FORMULATEXT(C10)</f>
        <v>=C7*(1+(C8*(1-C9)))</v>
      </c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3ED2B-8A97-45C7-932D-DABA29D44F22}">
  <dimension ref="B2:D21"/>
  <sheetViews>
    <sheetView zoomScale="150" zoomScaleNormal="150" workbookViewId="0">
      <selection activeCell="D20" sqref="D20"/>
    </sheetView>
  </sheetViews>
  <sheetFormatPr defaultRowHeight="14.4" x14ac:dyDescent="0.3"/>
  <cols>
    <col min="2" max="2" width="35.109375" customWidth="1"/>
    <col min="3" max="4" width="26" bestFit="1" customWidth="1"/>
  </cols>
  <sheetData>
    <row r="2" spans="2:4" x14ac:dyDescent="0.3">
      <c r="B2" s="33" t="s">
        <v>46</v>
      </c>
      <c r="C2" s="33" t="s">
        <v>105</v>
      </c>
      <c r="D2" s="33" t="s">
        <v>106</v>
      </c>
    </row>
    <row r="3" spans="2:4" x14ac:dyDescent="0.3">
      <c r="B3" s="58" t="s">
        <v>107</v>
      </c>
      <c r="C3" s="59">
        <v>3.5000000000000003E-2</v>
      </c>
      <c r="D3" s="60">
        <v>0.05</v>
      </c>
    </row>
    <row r="4" spans="2:4" x14ac:dyDescent="0.3">
      <c r="B4" s="58" t="s">
        <v>24</v>
      </c>
      <c r="C4" s="59">
        <f>'Atividade 2'!C13</f>
        <v>0.13200000000000001</v>
      </c>
      <c r="D4" s="59">
        <f>C4</f>
        <v>0.13200000000000001</v>
      </c>
    </row>
    <row r="5" spans="2:4" x14ac:dyDescent="0.3">
      <c r="B5" s="34" t="s">
        <v>103</v>
      </c>
      <c r="C5" s="43">
        <f>'Atividade 2'!F7</f>
        <v>2827.9650546104108</v>
      </c>
      <c r="D5" s="43">
        <f>'Atividade 2'!F7</f>
        <v>2827.9650546104108</v>
      </c>
    </row>
    <row r="6" spans="2:4" x14ac:dyDescent="0.3">
      <c r="B6" s="34" t="s">
        <v>104</v>
      </c>
      <c r="C6" s="43">
        <f>C5*(1+C3)/(C4-C3)</f>
        <v>30174.678675482213</v>
      </c>
      <c r="D6" s="43">
        <f>D5*(1+D3)/(D4-D3)</f>
        <v>36211.747650499165</v>
      </c>
    </row>
    <row r="7" spans="2:4" x14ac:dyDescent="0.3">
      <c r="B7" s="34" t="s">
        <v>108</v>
      </c>
      <c r="C7" s="43">
        <f>C6/(1+C4)^5</f>
        <v>16233.438491610925</v>
      </c>
      <c r="D7" s="43">
        <f>D6/(1+D4)^5</f>
        <v>19481.273834930751</v>
      </c>
    </row>
    <row r="8" spans="2:4" x14ac:dyDescent="0.3">
      <c r="B8" s="34" t="s">
        <v>109</v>
      </c>
      <c r="C8" s="43">
        <f>'Atividade 2'!H8</f>
        <v>8541.1072768536869</v>
      </c>
      <c r="D8" s="43">
        <f>C8</f>
        <v>8541.1072768536869</v>
      </c>
    </row>
    <row r="9" spans="2:4" x14ac:dyDescent="0.3">
      <c r="B9" s="36" t="s">
        <v>102</v>
      </c>
      <c r="C9" s="38">
        <f>C8+C7</f>
        <v>24774.54576846461</v>
      </c>
      <c r="D9" s="38">
        <f>D8+D7</f>
        <v>28022.381111784438</v>
      </c>
    </row>
    <row r="10" spans="2:4" x14ac:dyDescent="0.3">
      <c r="B10" s="34" t="s">
        <v>110</v>
      </c>
      <c r="C10" s="43">
        <v>1800</v>
      </c>
      <c r="D10" s="43">
        <v>1800</v>
      </c>
    </row>
    <row r="11" spans="2:4" x14ac:dyDescent="0.3">
      <c r="B11" s="36" t="s">
        <v>111</v>
      </c>
      <c r="C11" s="38">
        <f>C9-C10</f>
        <v>22974.54576846461</v>
      </c>
      <c r="D11" s="38">
        <f>D9-D10</f>
        <v>26222.381111784438</v>
      </c>
    </row>
    <row r="13" spans="2:4" x14ac:dyDescent="0.3">
      <c r="B13" s="33" t="s">
        <v>112</v>
      </c>
      <c r="C13" s="33" t="s">
        <v>80</v>
      </c>
    </row>
    <row r="14" spans="2:4" x14ac:dyDescent="0.3">
      <c r="B14" s="34" t="s">
        <v>113</v>
      </c>
      <c r="C14" s="43">
        <f>C11</f>
        <v>22974.54576846461</v>
      </c>
    </row>
    <row r="15" spans="2:4" x14ac:dyDescent="0.3">
      <c r="B15" s="34" t="s">
        <v>114</v>
      </c>
      <c r="C15" s="43">
        <f>D11</f>
        <v>26222.381111784438</v>
      </c>
    </row>
    <row r="16" spans="2:4" x14ac:dyDescent="0.3">
      <c r="B16" s="34" t="s">
        <v>115</v>
      </c>
      <c r="C16" s="43">
        <f>C15-C14</f>
        <v>3247.8353433198281</v>
      </c>
    </row>
    <row r="17" spans="2:3" x14ac:dyDescent="0.3">
      <c r="B17" s="34" t="s">
        <v>116</v>
      </c>
      <c r="C17" s="61">
        <f>C16/C14</f>
        <v>0.14136668363549898</v>
      </c>
    </row>
    <row r="18" spans="2:3" x14ac:dyDescent="0.3">
      <c r="B18" s="34" t="s">
        <v>117</v>
      </c>
      <c r="C18" s="61">
        <f>C7/C9</f>
        <v>0.65524666499736128</v>
      </c>
    </row>
    <row r="20" spans="2:3" x14ac:dyDescent="0.3">
      <c r="B20" s="72" t="s">
        <v>118</v>
      </c>
      <c r="C20" s="72"/>
    </row>
    <row r="21" spans="2:3" x14ac:dyDescent="0.3">
      <c r="B21" s="73" t="s">
        <v>119</v>
      </c>
      <c r="C21" s="73"/>
    </row>
  </sheetData>
  <mergeCells count="2">
    <mergeCell ref="B20:C20"/>
    <mergeCell ref="B21:C21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A2430-C858-49FE-97C0-387FC34D8E02}">
  <dimension ref="B2:C17"/>
  <sheetViews>
    <sheetView zoomScale="150" zoomScaleNormal="150" workbookViewId="0">
      <selection activeCell="I13" sqref="I13"/>
    </sheetView>
  </sheetViews>
  <sheetFormatPr defaultRowHeight="14.4" x14ac:dyDescent="0.3"/>
  <cols>
    <col min="2" max="2" width="27.21875" customWidth="1"/>
    <col min="3" max="3" width="22" customWidth="1"/>
  </cols>
  <sheetData>
    <row r="2" spans="2:3" x14ac:dyDescent="0.3">
      <c r="B2" s="33" t="s">
        <v>71</v>
      </c>
      <c r="C2" s="33" t="s">
        <v>121</v>
      </c>
    </row>
    <row r="3" spans="2:3" x14ac:dyDescent="0.3">
      <c r="B3" s="35" t="s">
        <v>122</v>
      </c>
      <c r="C3" s="35" t="s">
        <v>123</v>
      </c>
    </row>
    <row r="4" spans="2:3" x14ac:dyDescent="0.3">
      <c r="B4" s="35" t="s">
        <v>124</v>
      </c>
      <c r="C4" s="35" t="s">
        <v>125</v>
      </c>
    </row>
    <row r="5" spans="2:3" x14ac:dyDescent="0.3">
      <c r="B5" s="35" t="s">
        <v>126</v>
      </c>
      <c r="C5" s="35" t="s">
        <v>127</v>
      </c>
    </row>
    <row r="7" spans="2:3" x14ac:dyDescent="0.3">
      <c r="B7" s="74" t="s">
        <v>128</v>
      </c>
      <c r="C7" s="75"/>
    </row>
    <row r="9" spans="2:3" x14ac:dyDescent="0.3">
      <c r="B9" s="74" t="s">
        <v>129</v>
      </c>
      <c r="C9" s="75"/>
    </row>
    <row r="11" spans="2:3" x14ac:dyDescent="0.3">
      <c r="B11" s="11" t="s">
        <v>77</v>
      </c>
      <c r="C11" s="62">
        <v>7.6</v>
      </c>
    </row>
    <row r="12" spans="2:3" x14ac:dyDescent="0.3">
      <c r="B12" s="11" t="s">
        <v>44</v>
      </c>
      <c r="C12" s="63">
        <f>'Atividade 2'!C2</f>
        <v>3585</v>
      </c>
    </row>
    <row r="13" spans="2:3" x14ac:dyDescent="0.3">
      <c r="B13" s="11" t="s">
        <v>130</v>
      </c>
      <c r="C13" s="63">
        <f>C11*C12</f>
        <v>27246</v>
      </c>
    </row>
    <row r="14" spans="2:3" x14ac:dyDescent="0.3">
      <c r="B14" s="34" t="s">
        <v>110</v>
      </c>
      <c r="C14" s="43">
        <v>1800</v>
      </c>
    </row>
    <row r="15" spans="2:3" x14ac:dyDescent="0.3">
      <c r="B15" s="64" t="s">
        <v>132</v>
      </c>
      <c r="C15" s="65">
        <f>C13-C14</f>
        <v>25446</v>
      </c>
    </row>
    <row r="17" spans="2:3" x14ac:dyDescent="0.3">
      <c r="B17" s="64" t="s">
        <v>131</v>
      </c>
      <c r="C17" s="65">
        <f>'Atividade 5'!C11</f>
        <v>22974.54576846461</v>
      </c>
    </row>
  </sheetData>
  <mergeCells count="2">
    <mergeCell ref="B7:C7"/>
    <mergeCell ref="B9:C9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A96D6-B32B-447F-AD0D-B072B553F0F4}">
  <dimension ref="B2:D19"/>
  <sheetViews>
    <sheetView tabSelected="1" topLeftCell="A7" zoomScale="150" zoomScaleNormal="150" workbookViewId="0">
      <selection activeCell="G11" sqref="G11"/>
    </sheetView>
  </sheetViews>
  <sheetFormatPr defaultRowHeight="14.4" x14ac:dyDescent="0.3"/>
  <cols>
    <col min="2" max="2" width="26.109375" customWidth="1"/>
    <col min="3" max="3" width="20.21875" customWidth="1"/>
    <col min="4" max="4" width="14.88671875" customWidth="1"/>
  </cols>
  <sheetData>
    <row r="2" spans="2:4" x14ac:dyDescent="0.3">
      <c r="B2" t="s">
        <v>24</v>
      </c>
      <c r="C2" s="27">
        <v>0.13200000000000001</v>
      </c>
    </row>
    <row r="4" spans="2:4" x14ac:dyDescent="0.3">
      <c r="B4" s="33" t="s">
        <v>120</v>
      </c>
      <c r="C4" s="33" t="s">
        <v>133</v>
      </c>
      <c r="D4" s="33" t="s">
        <v>138</v>
      </c>
    </row>
    <row r="5" spans="2:4" x14ac:dyDescent="0.3">
      <c r="B5" s="35" t="s">
        <v>134</v>
      </c>
      <c r="C5" s="35">
        <v>650</v>
      </c>
      <c r="D5" s="43">
        <f>C5/$C$2</f>
        <v>4924.242424242424</v>
      </c>
    </row>
    <row r="6" spans="2:4" x14ac:dyDescent="0.3">
      <c r="B6" s="35" t="s">
        <v>135</v>
      </c>
      <c r="C6" s="35">
        <v>280</v>
      </c>
      <c r="D6" s="43">
        <f t="shared" ref="D6:D7" si="0">C6/$C$2</f>
        <v>2121.212121212121</v>
      </c>
    </row>
    <row r="7" spans="2:4" x14ac:dyDescent="0.3">
      <c r="B7" s="35" t="s">
        <v>136</v>
      </c>
      <c r="C7" s="35">
        <v>220</v>
      </c>
      <c r="D7" s="43">
        <f t="shared" si="0"/>
        <v>1666.6666666666665</v>
      </c>
    </row>
    <row r="8" spans="2:4" x14ac:dyDescent="0.3">
      <c r="B8" s="66" t="s">
        <v>137</v>
      </c>
      <c r="C8" s="38">
        <f>SUM(C5:C7)</f>
        <v>1150</v>
      </c>
      <c r="D8" s="38">
        <f>SUM(D5:D7)</f>
        <v>8712.121212121212</v>
      </c>
    </row>
    <row r="10" spans="2:4" x14ac:dyDescent="0.3">
      <c r="B10" s="33" t="s">
        <v>47</v>
      </c>
      <c r="C10" s="33" t="s">
        <v>80</v>
      </c>
    </row>
    <row r="11" spans="2:4" x14ac:dyDescent="0.3">
      <c r="B11" s="34" t="s">
        <v>139</v>
      </c>
      <c r="C11" s="43">
        <v>14000</v>
      </c>
    </row>
    <row r="12" spans="2:4" x14ac:dyDescent="0.3">
      <c r="B12" s="34" t="s">
        <v>140</v>
      </c>
      <c r="C12" s="43">
        <f>D8</f>
        <v>8712.121212121212</v>
      </c>
    </row>
    <row r="13" spans="2:4" ht="28.8" x14ac:dyDescent="0.3">
      <c r="B13" s="36" t="s">
        <v>141</v>
      </c>
      <c r="C13" s="38">
        <f>C11+C12</f>
        <v>22712.121212121212</v>
      </c>
    </row>
    <row r="14" spans="2:4" x14ac:dyDescent="0.3">
      <c r="B14" s="34" t="s">
        <v>142</v>
      </c>
      <c r="C14" s="43">
        <v>17500</v>
      </c>
    </row>
    <row r="15" spans="2:4" x14ac:dyDescent="0.3">
      <c r="B15" s="34" t="s">
        <v>143</v>
      </c>
      <c r="C15" s="43">
        <f>C14-C11</f>
        <v>3500</v>
      </c>
      <c r="D15" s="45">
        <f>C15/C11</f>
        <v>0.25</v>
      </c>
    </row>
    <row r="16" spans="2:4" x14ac:dyDescent="0.3">
      <c r="B16" s="34" t="s">
        <v>144</v>
      </c>
      <c r="C16" s="43">
        <f>C12-C15</f>
        <v>5212.121212121212</v>
      </c>
      <c r="D16" s="45">
        <f>C16/C12</f>
        <v>0.5982608695652174</v>
      </c>
    </row>
    <row r="18" spans="2:4" ht="14.4" customHeight="1" x14ac:dyDescent="0.3">
      <c r="B18" s="76" t="s">
        <v>145</v>
      </c>
      <c r="C18" s="76"/>
      <c r="D18" s="76"/>
    </row>
    <row r="19" spans="2:4" ht="60" customHeight="1" x14ac:dyDescent="0.3">
      <c r="B19" s="77" t="s">
        <v>146</v>
      </c>
      <c r="C19" s="77"/>
      <c r="D19" s="77"/>
    </row>
  </sheetData>
  <mergeCells count="2">
    <mergeCell ref="B18:D18"/>
    <mergeCell ref="B19:D1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11</vt:i4>
      </vt:variant>
    </vt:vector>
  </HeadingPairs>
  <TitlesOfParts>
    <vt:vector size="11" baseType="lpstr">
      <vt:lpstr>FC Livre</vt:lpstr>
      <vt:lpstr>Perpetuidade</vt:lpstr>
      <vt:lpstr>Atividade 1</vt:lpstr>
      <vt:lpstr>Atividade 2</vt:lpstr>
      <vt:lpstr>CT</vt:lpstr>
      <vt:lpstr>Beta Desalavancado</vt:lpstr>
      <vt:lpstr>Atividade 3</vt:lpstr>
      <vt:lpstr>Atividade 4</vt:lpstr>
      <vt:lpstr>Atividade 5</vt:lpstr>
      <vt:lpstr>Atividade 6</vt:lpstr>
      <vt:lpstr>Atividade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 FUMAUX</dc:creator>
  <cp:lastModifiedBy>ANDERSON FUMAUX</cp:lastModifiedBy>
  <dcterms:created xsi:type="dcterms:W3CDTF">2026-08-22T10:22:55Z</dcterms:created>
  <dcterms:modified xsi:type="dcterms:W3CDTF">2026-09-02T19:23:31Z</dcterms:modified>
</cp:coreProperties>
</file>