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a07f16b4e5c3260/Área de Trabalho/ANDERSON/CRC - ES/Perícia Bancária/"/>
    </mc:Choice>
  </mc:AlternateContent>
  <xr:revisionPtr revIDLastSave="429" documentId="8_{91F95AC7-91A6-492B-9333-DA49D02EB22A}" xr6:coauthVersionLast="47" xr6:coauthVersionMax="47" xr10:uidLastSave="{1DE251C5-D3EA-4AEE-A5C1-7547A066E39D}"/>
  <bookViews>
    <workbookView xWindow="-108" yWindow="-108" windowWidth="23256" windowHeight="12576" tabRatio="813" firstSheet="4" activeTab="15" xr2:uid="{71DC2A42-C0A1-4ABF-9465-16F45C89F908}"/>
  </bookViews>
  <sheets>
    <sheet name="Atividade 1" sheetId="1" r:id="rId1"/>
    <sheet name="Taxa nominal e efetiva" sheetId="22" r:id="rId2"/>
    <sheet name="Atividade 2" sheetId="6" r:id="rId3"/>
    <sheet name="Atividade 3" sheetId="15" r:id="rId4"/>
    <sheet name="Taxa pró-rata" sheetId="23" r:id="rId5"/>
    <sheet name="Atividade 4" sheetId="3" r:id="rId6"/>
    <sheet name="Atividade 5" sheetId="16" r:id="rId7"/>
    <sheet name="Atividade 6" sheetId="17" r:id="rId8"/>
    <sheet name="Atividade 7" sheetId="4" r:id="rId9"/>
    <sheet name="SAC" sheetId="24" r:id="rId10"/>
    <sheet name="Price" sheetId="25" r:id="rId11"/>
    <sheet name="MAJS" sheetId="26" r:id="rId12"/>
    <sheet name="MEJS" sheetId="27" r:id="rId13"/>
    <sheet name="Atividade 8" sheetId="18" r:id="rId14"/>
    <sheet name="Atividade 9" sheetId="20" r:id="rId15"/>
    <sheet name="Atividade 10" sheetId="2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4" i="25" l="1"/>
  <c r="D12" i="27"/>
  <c r="D13" i="27" s="1"/>
  <c r="D14" i="27" s="1"/>
  <c r="D15" i="27" s="1"/>
  <c r="D16" i="27" s="1"/>
  <c r="D17" i="27" s="1"/>
  <c r="D18" i="27" s="1"/>
  <c r="D19" i="27" s="1"/>
  <c r="D20" i="27" s="1"/>
  <c r="D21" i="27" s="1"/>
  <c r="D22" i="27" s="1"/>
  <c r="D11" i="27"/>
  <c r="G12" i="27"/>
  <c r="G13" i="27"/>
  <c r="G14" i="27"/>
  <c r="G15" i="27"/>
  <c r="G16" i="27"/>
  <c r="G17" i="27"/>
  <c r="G18" i="27"/>
  <c r="G19" i="27"/>
  <c r="G20" i="27"/>
  <c r="G21" i="27"/>
  <c r="G22" i="27"/>
  <c r="G11" i="27"/>
  <c r="F12" i="27"/>
  <c r="F13" i="27"/>
  <c r="F14" i="27"/>
  <c r="F15" i="27"/>
  <c r="F16" i="27"/>
  <c r="F17" i="27"/>
  <c r="F18" i="27"/>
  <c r="F19" i="27"/>
  <c r="F20" i="27"/>
  <c r="F21" i="27"/>
  <c r="F22" i="27"/>
  <c r="F11" i="27"/>
  <c r="D10" i="27"/>
  <c r="E12" i="27"/>
  <c r="E13" i="27"/>
  <c r="E14" i="27"/>
  <c r="E15" i="27"/>
  <c r="E16" i="27"/>
  <c r="E17" i="27"/>
  <c r="E18" i="27"/>
  <c r="E19" i="27"/>
  <c r="E20" i="27"/>
  <c r="E21" i="27"/>
  <c r="E22" i="27"/>
  <c r="E11" i="27"/>
  <c r="C7" i="27"/>
  <c r="C6" i="27"/>
  <c r="C12" i="27"/>
  <c r="C13" i="27"/>
  <c r="C14" i="27"/>
  <c r="C15" i="27"/>
  <c r="C16" i="27"/>
  <c r="C17" i="27"/>
  <c r="C18" i="27"/>
  <c r="C19" i="27"/>
  <c r="C20" i="27"/>
  <c r="C21" i="27"/>
  <c r="C22" i="27"/>
  <c r="C11" i="27"/>
  <c r="G11" i="26"/>
  <c r="G12" i="26"/>
  <c r="G13" i="26"/>
  <c r="G14" i="26"/>
  <c r="G15" i="26"/>
  <c r="G16" i="26"/>
  <c r="G17" i="26"/>
  <c r="G18" i="26"/>
  <c r="G19" i="26"/>
  <c r="G20" i="26"/>
  <c r="G21" i="26"/>
  <c r="G10" i="26"/>
  <c r="D7" i="27"/>
  <c r="H10" i="26"/>
  <c r="H11" i="26"/>
  <c r="H12" i="26"/>
  <c r="H13" i="26"/>
  <c r="H14" i="26"/>
  <c r="H15" i="26"/>
  <c r="H16" i="26"/>
  <c r="H17" i="26"/>
  <c r="H18" i="26"/>
  <c r="H19" i="26"/>
  <c r="H20" i="26"/>
  <c r="H21" i="26"/>
  <c r="F13" i="26" l="1"/>
  <c r="F14" i="26"/>
  <c r="F15" i="26"/>
  <c r="F16" i="26"/>
  <c r="F17" i="26"/>
  <c r="F18" i="26"/>
  <c r="F19" i="26"/>
  <c r="F20" i="26"/>
  <c r="F21" i="26"/>
  <c r="F12" i="26"/>
  <c r="F11" i="26"/>
  <c r="F10" i="26"/>
  <c r="I4" i="26"/>
  <c r="I3" i="26"/>
  <c r="C9" i="26"/>
  <c r="C6" i="26"/>
  <c r="E21" i="26" s="1"/>
  <c r="I8" i="25"/>
  <c r="J6" i="25"/>
  <c r="I7" i="25"/>
  <c r="I6" i="25"/>
  <c r="H6" i="25"/>
  <c r="C6" i="25"/>
  <c r="D17" i="25" s="1"/>
  <c r="C9" i="25"/>
  <c r="F10" i="25" s="1"/>
  <c r="G22" i="24"/>
  <c r="G11" i="24"/>
  <c r="G12" i="24"/>
  <c r="G13" i="24"/>
  <c r="G14" i="24"/>
  <c r="G15" i="24"/>
  <c r="G16" i="24"/>
  <c r="G17" i="24"/>
  <c r="G18" i="24"/>
  <c r="G19" i="24"/>
  <c r="G20" i="24"/>
  <c r="G21" i="24"/>
  <c r="G10" i="24"/>
  <c r="F10" i="24"/>
  <c r="C6" i="24"/>
  <c r="C9" i="24"/>
  <c r="E17" i="24"/>
  <c r="C6" i="4"/>
  <c r="C5" i="4"/>
  <c r="C15" i="17"/>
  <c r="C14" i="17"/>
  <c r="D6" i="17"/>
  <c r="C12" i="16"/>
  <c r="C11" i="16"/>
  <c r="C10" i="16"/>
  <c r="C9" i="16"/>
  <c r="C8" i="3"/>
  <c r="C11" i="23"/>
  <c r="C9" i="23"/>
  <c r="C7" i="23"/>
  <c r="C6" i="23"/>
  <c r="C6" i="22"/>
  <c r="C4" i="22"/>
  <c r="D7" i="1"/>
  <c r="G46" i="21"/>
  <c r="F46" i="21"/>
  <c r="E46" i="21"/>
  <c r="C5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10" i="21"/>
  <c r="D9" i="21"/>
  <c r="C6" i="18"/>
  <c r="C9" i="20"/>
  <c r="F10" i="20" s="1"/>
  <c r="C6" i="20"/>
  <c r="D25" i="20" s="1"/>
  <c r="E28" i="18"/>
  <c r="E27" i="18"/>
  <c r="E26" i="18"/>
  <c r="E20" i="18"/>
  <c r="E19" i="18"/>
  <c r="E18" i="18"/>
  <c r="E12" i="18"/>
  <c r="E11" i="18"/>
  <c r="E10" i="18"/>
  <c r="C9" i="18"/>
  <c r="F10" i="18" s="1"/>
  <c r="E43" i="18"/>
  <c r="D11" i="17"/>
  <c r="D10" i="17"/>
  <c r="D9" i="17"/>
  <c r="D8" i="17"/>
  <c r="D7" i="17"/>
  <c r="H22" i="26"/>
  <c r="E6" i="26"/>
  <c r="H22" i="25"/>
  <c r="H19" i="25"/>
  <c r="H15" i="25"/>
  <c r="H11" i="25"/>
  <c r="H17" i="25"/>
  <c r="H20" i="25"/>
  <c r="H16" i="25"/>
  <c r="H12" i="25"/>
  <c r="H13" i="25"/>
  <c r="H14" i="25"/>
  <c r="H10" i="25"/>
  <c r="H21" i="25"/>
  <c r="E6" i="25"/>
  <c r="H18" i="25"/>
  <c r="H22" i="24"/>
  <c r="H11" i="24"/>
  <c r="H19" i="24"/>
  <c r="H12" i="24"/>
  <c r="H20" i="24"/>
  <c r="H13" i="24"/>
  <c r="H21" i="24"/>
  <c r="H14" i="24"/>
  <c r="H15" i="24"/>
  <c r="H16" i="24"/>
  <c r="H17" i="24"/>
  <c r="H18" i="24"/>
  <c r="H10" i="24"/>
  <c r="E6" i="24"/>
  <c r="E8" i="17"/>
  <c r="H39" i="21"/>
  <c r="H15" i="21"/>
  <c r="H23" i="21"/>
  <c r="H21" i="21"/>
  <c r="H11" i="21"/>
  <c r="H38" i="21"/>
  <c r="H10" i="21"/>
  <c r="H27" i="21"/>
  <c r="H33" i="21"/>
  <c r="H18" i="21"/>
  <c r="D5" i="21"/>
  <c r="H31" i="21"/>
  <c r="D6" i="21"/>
  <c r="H43" i="21"/>
  <c r="H35" i="21"/>
  <c r="H30" i="21"/>
  <c r="H34" i="21"/>
  <c r="E9" i="17"/>
  <c r="E6" i="17"/>
  <c r="E8" i="3"/>
  <c r="D11" i="23"/>
  <c r="H22" i="21"/>
  <c r="H28" i="21"/>
  <c r="H20" i="21"/>
  <c r="H25" i="21"/>
  <c r="H13" i="21"/>
  <c r="D9" i="23"/>
  <c r="H19" i="21"/>
  <c r="H44" i="21"/>
  <c r="E7" i="17"/>
  <c r="E10" i="17"/>
  <c r="E6" i="22"/>
  <c r="H14" i="21"/>
  <c r="H40" i="21"/>
  <c r="H16" i="21"/>
  <c r="H42" i="21"/>
  <c r="H17" i="21"/>
  <c r="H29" i="21"/>
  <c r="H24" i="21"/>
  <c r="E6" i="20"/>
  <c r="H45" i="21"/>
  <c r="E11" i="17"/>
  <c r="E4" i="22"/>
  <c r="H41" i="21"/>
  <c r="H37" i="21"/>
  <c r="H12" i="21"/>
  <c r="H36" i="21"/>
  <c r="E6" i="18"/>
  <c r="H32" i="21"/>
  <c r="H26" i="21"/>
  <c r="E23" i="27" l="1"/>
  <c r="E12" i="26"/>
  <c r="E16" i="26"/>
  <c r="E20" i="26"/>
  <c r="C10" i="26"/>
  <c r="E11" i="26"/>
  <c r="E15" i="26"/>
  <c r="E19" i="26"/>
  <c r="E10" i="26"/>
  <c r="E14" i="26"/>
  <c r="E18" i="26"/>
  <c r="E13" i="26"/>
  <c r="E17" i="26"/>
  <c r="D10" i="25"/>
  <c r="E10" i="25" s="1"/>
  <c r="D14" i="25"/>
  <c r="D15" i="25"/>
  <c r="D21" i="25"/>
  <c r="D13" i="25"/>
  <c r="D12" i="25"/>
  <c r="D19" i="25"/>
  <c r="D11" i="25"/>
  <c r="D18" i="25"/>
  <c r="D16" i="25"/>
  <c r="D20" i="25"/>
  <c r="E11" i="24"/>
  <c r="E13" i="24"/>
  <c r="E15" i="24"/>
  <c r="E20" i="24"/>
  <c r="E18" i="24"/>
  <c r="E16" i="24"/>
  <c r="E14" i="24"/>
  <c r="E12" i="24"/>
  <c r="E10" i="24"/>
  <c r="C10" i="24" s="1"/>
  <c r="E21" i="24"/>
  <c r="E19" i="24"/>
  <c r="C6" i="21"/>
  <c r="E20" i="21" s="1"/>
  <c r="E13" i="18"/>
  <c r="E21" i="18"/>
  <c r="E29" i="18"/>
  <c r="E14" i="18"/>
  <c r="E22" i="18"/>
  <c r="E30" i="18"/>
  <c r="E15" i="18"/>
  <c r="E23" i="18"/>
  <c r="E31" i="18"/>
  <c r="E16" i="18"/>
  <c r="E24" i="18"/>
  <c r="E32" i="18"/>
  <c r="E17" i="18"/>
  <c r="E25" i="18"/>
  <c r="E33" i="18"/>
  <c r="D20" i="20"/>
  <c r="D23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11" i="20"/>
  <c r="D13" i="20"/>
  <c r="D15" i="20"/>
  <c r="D18" i="20"/>
  <c r="D22" i="20"/>
  <c r="D24" i="20"/>
  <c r="D16" i="20"/>
  <c r="D26" i="20"/>
  <c r="D10" i="20"/>
  <c r="D12" i="20"/>
  <c r="D14" i="20"/>
  <c r="D17" i="20"/>
  <c r="D19" i="20"/>
  <c r="D21" i="20"/>
  <c r="E35" i="18"/>
  <c r="E37" i="18"/>
  <c r="E40" i="18"/>
  <c r="E42" i="18"/>
  <c r="E44" i="18"/>
  <c r="E34" i="18"/>
  <c r="E36" i="18"/>
  <c r="E39" i="18"/>
  <c r="E41" i="18"/>
  <c r="E45" i="18"/>
  <c r="E38" i="18"/>
  <c r="C10" i="18"/>
  <c r="C11" i="26" l="1"/>
  <c r="D11" i="26"/>
  <c r="E22" i="26"/>
  <c r="D10" i="26"/>
  <c r="C10" i="25"/>
  <c r="F11" i="24"/>
  <c r="C11" i="24"/>
  <c r="D10" i="24"/>
  <c r="E22" i="24"/>
  <c r="E14" i="21"/>
  <c r="E23" i="21"/>
  <c r="E17" i="21"/>
  <c r="E21" i="21"/>
  <c r="E27" i="21"/>
  <c r="F27" i="21" s="1"/>
  <c r="G27" i="21" s="1"/>
  <c r="E11" i="21"/>
  <c r="F11" i="21" s="1"/>
  <c r="G11" i="21" s="1"/>
  <c r="E12" i="21"/>
  <c r="E28" i="21"/>
  <c r="E41" i="21"/>
  <c r="F41" i="21" s="1"/>
  <c r="G41" i="21" s="1"/>
  <c r="E42" i="21"/>
  <c r="E36" i="21"/>
  <c r="E30" i="21"/>
  <c r="F30" i="21" s="1"/>
  <c r="G30" i="21" s="1"/>
  <c r="E39" i="21"/>
  <c r="E38" i="21"/>
  <c r="E44" i="21"/>
  <c r="E43" i="21"/>
  <c r="F43" i="21" s="1"/>
  <c r="G43" i="21" s="1"/>
  <c r="E29" i="21"/>
  <c r="E45" i="21"/>
  <c r="F45" i="21" s="1"/>
  <c r="G45" i="21" s="1"/>
  <c r="E31" i="21"/>
  <c r="E35" i="21"/>
  <c r="E40" i="21"/>
  <c r="E34" i="21"/>
  <c r="E37" i="21"/>
  <c r="F37" i="21" s="1"/>
  <c r="G37" i="21" s="1"/>
  <c r="E32" i="21"/>
  <c r="E33" i="21"/>
  <c r="F33" i="21" s="1"/>
  <c r="G33" i="21" s="1"/>
  <c r="E13" i="21"/>
  <c r="F13" i="21" s="1"/>
  <c r="G13" i="21" s="1"/>
  <c r="E24" i="21"/>
  <c r="E25" i="21"/>
  <c r="F25" i="21" s="1"/>
  <c r="G25" i="21" s="1"/>
  <c r="E16" i="21"/>
  <c r="F16" i="21" s="1"/>
  <c r="G16" i="21" s="1"/>
  <c r="E10" i="21"/>
  <c r="F10" i="21" s="1"/>
  <c r="D10" i="21" s="1"/>
  <c r="E15" i="21"/>
  <c r="E18" i="21"/>
  <c r="F18" i="21" s="1"/>
  <c r="G18" i="21" s="1"/>
  <c r="E19" i="21"/>
  <c r="F19" i="21" s="1"/>
  <c r="G19" i="21" s="1"/>
  <c r="E22" i="21"/>
  <c r="F22" i="21" s="1"/>
  <c r="G22" i="21" s="1"/>
  <c r="E26" i="21"/>
  <c r="F26" i="21" s="1"/>
  <c r="G26" i="21" s="1"/>
  <c r="F24" i="21"/>
  <c r="G24" i="21" s="1"/>
  <c r="F21" i="21"/>
  <c r="G21" i="21" s="1"/>
  <c r="F14" i="21"/>
  <c r="G14" i="21" s="1"/>
  <c r="F15" i="21"/>
  <c r="G15" i="21" s="1"/>
  <c r="F23" i="21"/>
  <c r="G23" i="21" s="1"/>
  <c r="F20" i="21"/>
  <c r="G20" i="21" s="1"/>
  <c r="F17" i="21"/>
  <c r="G17" i="21" s="1"/>
  <c r="F12" i="21"/>
  <c r="G12" i="21"/>
  <c r="C11" i="18"/>
  <c r="F11" i="18"/>
  <c r="D11" i="18" s="1"/>
  <c r="D46" i="20"/>
  <c r="E10" i="20"/>
  <c r="E46" i="18"/>
  <c r="D10" i="18"/>
  <c r="C9" i="3"/>
  <c r="C10" i="3" s="1"/>
  <c r="C11" i="3" s="1"/>
  <c r="E5" i="15"/>
  <c r="D5" i="15"/>
  <c r="C5" i="15"/>
  <c r="C5" i="6"/>
  <c r="C10" i="6"/>
  <c r="C11" i="6" s="1"/>
  <c r="C9" i="6"/>
  <c r="E8" i="1"/>
  <c r="E9" i="1"/>
  <c r="E10" i="1"/>
  <c r="E11" i="1"/>
  <c r="E12" i="1"/>
  <c r="E13" i="1"/>
  <c r="E14" i="1"/>
  <c r="E15" i="1"/>
  <c r="E16" i="1"/>
  <c r="E17" i="1"/>
  <c r="E18" i="1"/>
  <c r="E7" i="1"/>
  <c r="D8" i="1"/>
  <c r="D9" i="1"/>
  <c r="D10" i="1"/>
  <c r="D11" i="1"/>
  <c r="D12" i="1"/>
  <c r="D13" i="1"/>
  <c r="D14" i="1"/>
  <c r="D15" i="1"/>
  <c r="D16" i="1"/>
  <c r="D17" i="1"/>
  <c r="D18" i="1"/>
  <c r="C8" i="1"/>
  <c r="C9" i="1"/>
  <c r="C10" i="1"/>
  <c r="C11" i="1"/>
  <c r="C12" i="1"/>
  <c r="C13" i="1"/>
  <c r="C14" i="1"/>
  <c r="C15" i="1"/>
  <c r="C16" i="1"/>
  <c r="C17" i="1"/>
  <c r="C18" i="1"/>
  <c r="C7" i="1"/>
  <c r="G17" i="1"/>
  <c r="F18" i="1"/>
  <c r="G10" i="1"/>
  <c r="F8" i="1"/>
  <c r="F11" i="1"/>
  <c r="E10" i="3"/>
  <c r="F15" i="1"/>
  <c r="E11" i="3"/>
  <c r="G16" i="1"/>
  <c r="D10" i="6"/>
  <c r="F14" i="1"/>
  <c r="F10" i="1"/>
  <c r="G11" i="1"/>
  <c r="H11" i="1"/>
  <c r="D6" i="4"/>
  <c r="G9" i="1"/>
  <c r="E11" i="16"/>
  <c r="H17" i="1"/>
  <c r="F7" i="1"/>
  <c r="H12" i="1"/>
  <c r="F17" i="1"/>
  <c r="F16" i="1"/>
  <c r="H15" i="1"/>
  <c r="E10" i="16"/>
  <c r="D11" i="6"/>
  <c r="G14" i="1"/>
  <c r="F12" i="1"/>
  <c r="E12" i="16"/>
  <c r="H7" i="1"/>
  <c r="G15" i="1"/>
  <c r="F9" i="1"/>
  <c r="D5" i="6"/>
  <c r="H9" i="1"/>
  <c r="H8" i="1"/>
  <c r="H16" i="1"/>
  <c r="G13" i="1"/>
  <c r="H18" i="1"/>
  <c r="G12" i="1"/>
  <c r="G7" i="1"/>
  <c r="G18" i="1"/>
  <c r="F13" i="1"/>
  <c r="E9" i="3"/>
  <c r="H13" i="1"/>
  <c r="H10" i="1"/>
  <c r="D9" i="6"/>
  <c r="E9" i="16"/>
  <c r="H14" i="1"/>
  <c r="G8" i="1"/>
  <c r="C12" i="26" l="1"/>
  <c r="D12" i="26"/>
  <c r="F11" i="25"/>
  <c r="E11" i="25" s="1"/>
  <c r="C11" i="25"/>
  <c r="G10" i="25"/>
  <c r="C12" i="24"/>
  <c r="F12" i="24"/>
  <c r="D12" i="24" s="1"/>
  <c r="D11" i="24"/>
  <c r="D11" i="21"/>
  <c r="D12" i="21" s="1"/>
  <c r="F32" i="21"/>
  <c r="G32" i="21"/>
  <c r="F28" i="21"/>
  <c r="F44" i="21"/>
  <c r="G44" i="21" s="1"/>
  <c r="F34" i="21"/>
  <c r="G34" i="21"/>
  <c r="F38" i="21"/>
  <c r="G38" i="21"/>
  <c r="F40" i="21"/>
  <c r="G40" i="21" s="1"/>
  <c r="F39" i="21"/>
  <c r="G39" i="21"/>
  <c r="F29" i="21"/>
  <c r="G29" i="21"/>
  <c r="F35" i="21"/>
  <c r="G35" i="21" s="1"/>
  <c r="F31" i="21"/>
  <c r="G31" i="21" s="1"/>
  <c r="F36" i="21"/>
  <c r="G36" i="21"/>
  <c r="F42" i="21"/>
  <c r="G42" i="21" s="1"/>
  <c r="G10" i="21"/>
  <c r="D13" i="21"/>
  <c r="D14" i="21" s="1"/>
  <c r="D15" i="21" s="1"/>
  <c r="D16" i="21" s="1"/>
  <c r="D17" i="21" s="1"/>
  <c r="D18" i="21" s="1"/>
  <c r="D19" i="21" s="1"/>
  <c r="D20" i="21" s="1"/>
  <c r="D21" i="21" s="1"/>
  <c r="D22" i="21" s="1"/>
  <c r="D23" i="21" s="1"/>
  <c r="D24" i="21" s="1"/>
  <c r="D25" i="21" s="1"/>
  <c r="D26" i="21" s="1"/>
  <c r="D27" i="21" s="1"/>
  <c r="C12" i="18"/>
  <c r="F12" i="18"/>
  <c r="D12" i="18" s="1"/>
  <c r="C10" i="20"/>
  <c r="C13" i="26" l="1"/>
  <c r="F12" i="25"/>
  <c r="F13" i="24"/>
  <c r="C13" i="24"/>
  <c r="D28" i="21"/>
  <c r="D29" i="21" s="1"/>
  <c r="D30" i="21" s="1"/>
  <c r="D31" i="21" s="1"/>
  <c r="D32" i="21" s="1"/>
  <c r="D33" i="21" s="1"/>
  <c r="D34" i="21" s="1"/>
  <c r="D35" i="21" s="1"/>
  <c r="D36" i="21" s="1"/>
  <c r="D37" i="21" s="1"/>
  <c r="D38" i="21" s="1"/>
  <c r="D39" i="21" s="1"/>
  <c r="D40" i="21" s="1"/>
  <c r="D41" i="21" s="1"/>
  <c r="D42" i="21" s="1"/>
  <c r="D43" i="21" s="1"/>
  <c r="D44" i="21" s="1"/>
  <c r="D45" i="21" s="1"/>
  <c r="G28" i="21"/>
  <c r="C13" i="18"/>
  <c r="F13" i="18"/>
  <c r="D13" i="18" s="1"/>
  <c r="F11" i="20"/>
  <c r="D13" i="26" l="1"/>
  <c r="D14" i="26"/>
  <c r="C14" i="26"/>
  <c r="G12" i="25"/>
  <c r="E12" i="25"/>
  <c r="G11" i="25"/>
  <c r="C14" i="24"/>
  <c r="F14" i="24"/>
  <c r="D14" i="24" s="1"/>
  <c r="D13" i="24"/>
  <c r="C14" i="18"/>
  <c r="F14" i="18"/>
  <c r="D14" i="18" s="1"/>
  <c r="E11" i="20"/>
  <c r="D15" i="26" l="1"/>
  <c r="C15" i="26"/>
  <c r="C12" i="25"/>
  <c r="F15" i="24"/>
  <c r="C15" i="24"/>
  <c r="C15" i="18"/>
  <c r="F15" i="18"/>
  <c r="D15" i="18" s="1"/>
  <c r="C11" i="20"/>
  <c r="C16" i="26" l="1"/>
  <c r="D16" i="26"/>
  <c r="F13" i="25"/>
  <c r="E13" i="25" s="1"/>
  <c r="C13" i="25" s="1"/>
  <c r="G13" i="25"/>
  <c r="C16" i="24"/>
  <c r="F16" i="24"/>
  <c r="D16" i="24" s="1"/>
  <c r="D15" i="24"/>
  <c r="C16" i="18"/>
  <c r="F16" i="18"/>
  <c r="D16" i="18" s="1"/>
  <c r="F12" i="20"/>
  <c r="C17" i="26" l="1"/>
  <c r="D17" i="26"/>
  <c r="F14" i="25"/>
  <c r="F17" i="24"/>
  <c r="D17" i="24" s="1"/>
  <c r="C17" i="24"/>
  <c r="C17" i="18"/>
  <c r="F17" i="18"/>
  <c r="D17" i="18" s="1"/>
  <c r="E12" i="20"/>
  <c r="D18" i="26" l="1"/>
  <c r="C18" i="26"/>
  <c r="G14" i="25"/>
  <c r="E14" i="25"/>
  <c r="G15" i="25"/>
  <c r="C18" i="24"/>
  <c r="F18" i="24"/>
  <c r="D18" i="24" s="1"/>
  <c r="C18" i="18"/>
  <c r="F18" i="18"/>
  <c r="D18" i="18" s="1"/>
  <c r="C12" i="20"/>
  <c r="D19" i="26" l="1"/>
  <c r="C19" i="26"/>
  <c r="C14" i="25"/>
  <c r="F19" i="24"/>
  <c r="D19" i="24" s="1"/>
  <c r="C19" i="24"/>
  <c r="C19" i="18"/>
  <c r="F19" i="18"/>
  <c r="D19" i="18" s="1"/>
  <c r="F13" i="20"/>
  <c r="C20" i="26" l="1"/>
  <c r="D20" i="26"/>
  <c r="C15" i="25"/>
  <c r="F15" i="25"/>
  <c r="E15" i="25" s="1"/>
  <c r="C20" i="24"/>
  <c r="F20" i="24"/>
  <c r="D20" i="24" s="1"/>
  <c r="C20" i="18"/>
  <c r="F20" i="18"/>
  <c r="D20" i="18" s="1"/>
  <c r="E13" i="20"/>
  <c r="C21" i="26" l="1"/>
  <c r="F16" i="25"/>
  <c r="F21" i="24"/>
  <c r="D21" i="24" s="1"/>
  <c r="C21" i="24"/>
  <c r="C21" i="18"/>
  <c r="F21" i="18"/>
  <c r="D21" i="18" s="1"/>
  <c r="C13" i="20"/>
  <c r="D21" i="26" l="1"/>
  <c r="F22" i="26"/>
  <c r="G16" i="25"/>
  <c r="E16" i="25"/>
  <c r="C16" i="25" s="1"/>
  <c r="C22" i="18"/>
  <c r="F22" i="18"/>
  <c r="D22" i="18" s="1"/>
  <c r="F14" i="20"/>
  <c r="E14" i="20" s="1"/>
  <c r="C14" i="20" s="1"/>
  <c r="G22" i="26" l="1"/>
  <c r="D22" i="26"/>
  <c r="F17" i="25"/>
  <c r="C23" i="18"/>
  <c r="F23" i="18"/>
  <c r="D23" i="18" s="1"/>
  <c r="F15" i="20"/>
  <c r="E15" i="20" s="1"/>
  <c r="C15" i="20" s="1"/>
  <c r="G17" i="25" l="1"/>
  <c r="E17" i="25"/>
  <c r="C17" i="25" s="1"/>
  <c r="G21" i="25"/>
  <c r="D22" i="25"/>
  <c r="C24" i="18"/>
  <c r="F24" i="18"/>
  <c r="F16" i="20"/>
  <c r="E16" i="20" s="1"/>
  <c r="C16" i="20" s="1"/>
  <c r="F18" i="25" l="1"/>
  <c r="D24" i="18"/>
  <c r="C25" i="18"/>
  <c r="F25" i="18"/>
  <c r="D25" i="18" s="1"/>
  <c r="F17" i="20"/>
  <c r="E17" i="20" s="1"/>
  <c r="C17" i="20" s="1"/>
  <c r="G18" i="25" l="1"/>
  <c r="E18" i="25"/>
  <c r="C18" i="25" s="1"/>
  <c r="C26" i="18"/>
  <c r="F26" i="18"/>
  <c r="D26" i="18" s="1"/>
  <c r="F18" i="20"/>
  <c r="E18" i="20" s="1"/>
  <c r="C18" i="20" s="1"/>
  <c r="F19" i="25" l="1"/>
  <c r="C27" i="18"/>
  <c r="F27" i="18"/>
  <c r="F19" i="20"/>
  <c r="E19" i="20" s="1"/>
  <c r="C19" i="20" s="1"/>
  <c r="G19" i="25" l="1"/>
  <c r="E19" i="25"/>
  <c r="C19" i="25" s="1"/>
  <c r="D27" i="18"/>
  <c r="C28" i="18"/>
  <c r="F28" i="18"/>
  <c r="D28" i="18" s="1"/>
  <c r="F20" i="20"/>
  <c r="E20" i="20" s="1"/>
  <c r="C20" i="20" s="1"/>
  <c r="F20" i="25" l="1"/>
  <c r="C29" i="18"/>
  <c r="F29" i="18"/>
  <c r="D29" i="18" s="1"/>
  <c r="F21" i="20"/>
  <c r="E21" i="20" s="1"/>
  <c r="C21" i="20" s="1"/>
  <c r="G23" i="27" l="1"/>
  <c r="G20" i="25"/>
  <c r="G22" i="25" s="1"/>
  <c r="E20" i="25"/>
  <c r="C20" i="25" s="1"/>
  <c r="C30" i="18"/>
  <c r="F30" i="18"/>
  <c r="F22" i="20"/>
  <c r="E22" i="20" s="1"/>
  <c r="C22" i="20" s="1"/>
  <c r="F23" i="27" l="1"/>
  <c r="F21" i="25"/>
  <c r="D30" i="18"/>
  <c r="C31" i="18"/>
  <c r="F31" i="18"/>
  <c r="D31" i="18" s="1"/>
  <c r="F23" i="20"/>
  <c r="E23" i="20" s="1"/>
  <c r="C23" i="20" s="1"/>
  <c r="E21" i="25" l="1"/>
  <c r="F22" i="25"/>
  <c r="C32" i="18"/>
  <c r="F32" i="18"/>
  <c r="D32" i="18" s="1"/>
  <c r="F24" i="20"/>
  <c r="E24" i="20" s="1"/>
  <c r="C24" i="20" s="1"/>
  <c r="E22" i="25" l="1"/>
  <c r="C21" i="25"/>
  <c r="C33" i="18"/>
  <c r="F33" i="18"/>
  <c r="D33" i="18" s="1"/>
  <c r="F25" i="20"/>
  <c r="E25" i="20" s="1"/>
  <c r="C25" i="20" s="1"/>
  <c r="F34" i="18" l="1"/>
  <c r="D34" i="18" s="1"/>
  <c r="C34" i="18"/>
  <c r="F26" i="20"/>
  <c r="E26" i="20" s="1"/>
  <c r="C26" i="20" s="1"/>
  <c r="F35" i="18" l="1"/>
  <c r="D35" i="18" s="1"/>
  <c r="C35" i="18"/>
  <c r="F27" i="20"/>
  <c r="E27" i="20" s="1"/>
  <c r="C27" i="20" s="1"/>
  <c r="F36" i="18" l="1"/>
  <c r="D36" i="18" s="1"/>
  <c r="C36" i="18"/>
  <c r="F28" i="20"/>
  <c r="E28" i="20" s="1"/>
  <c r="C28" i="20" s="1"/>
  <c r="F37" i="18" l="1"/>
  <c r="D37" i="18" s="1"/>
  <c r="C37" i="18"/>
  <c r="F29" i="20"/>
  <c r="E29" i="20" s="1"/>
  <c r="C29" i="20" s="1"/>
  <c r="F38" i="18" l="1"/>
  <c r="D38" i="18" s="1"/>
  <c r="C38" i="18"/>
  <c r="F30" i="20"/>
  <c r="E30" i="20" s="1"/>
  <c r="C30" i="20" s="1"/>
  <c r="F39" i="18" l="1"/>
  <c r="D39" i="18" s="1"/>
  <c r="C39" i="18"/>
  <c r="F31" i="20"/>
  <c r="E31" i="20" s="1"/>
  <c r="C31" i="20" s="1"/>
  <c r="F40" i="18" l="1"/>
  <c r="D40" i="18" s="1"/>
  <c r="C40" i="18"/>
  <c r="F32" i="20"/>
  <c r="E32" i="20" s="1"/>
  <c r="C32" i="20" s="1"/>
  <c r="F41" i="18" l="1"/>
  <c r="D41" i="18" s="1"/>
  <c r="C41" i="18"/>
  <c r="F33" i="20"/>
  <c r="E33" i="20" s="1"/>
  <c r="C33" i="20" s="1"/>
  <c r="F42" i="18" l="1"/>
  <c r="D42" i="18" s="1"/>
  <c r="C42" i="18"/>
  <c r="F34" i="20"/>
  <c r="E34" i="20" s="1"/>
  <c r="C34" i="20"/>
  <c r="F43" i="18" l="1"/>
  <c r="D43" i="18" s="1"/>
  <c r="C43" i="18"/>
  <c r="F35" i="20"/>
  <c r="E35" i="20" s="1"/>
  <c r="C35" i="20" s="1"/>
  <c r="F44" i="18" l="1"/>
  <c r="D44" i="18" s="1"/>
  <c r="C44" i="18"/>
  <c r="F36" i="20"/>
  <c r="E36" i="20" s="1"/>
  <c r="C36" i="20"/>
  <c r="F45" i="18" l="1"/>
  <c r="C45" i="18"/>
  <c r="F37" i="20"/>
  <c r="E37" i="20" s="1"/>
  <c r="C37" i="20" s="1"/>
  <c r="D22" i="24" l="1"/>
  <c r="F22" i="24"/>
  <c r="D45" i="18"/>
  <c r="D46" i="18" s="1"/>
  <c r="F46" i="18"/>
  <c r="F38" i="20"/>
  <c r="E38" i="20" s="1"/>
  <c r="C38" i="20" s="1"/>
  <c r="F39" i="20" l="1"/>
  <c r="E39" i="20" s="1"/>
  <c r="C39" i="20" s="1"/>
  <c r="F40" i="20" l="1"/>
  <c r="E40" i="20" s="1"/>
  <c r="C40" i="20" s="1"/>
  <c r="F41" i="20" l="1"/>
  <c r="E41" i="20" s="1"/>
  <c r="C41" i="20" s="1"/>
  <c r="F42" i="20" l="1"/>
  <c r="E42" i="20" s="1"/>
  <c r="C42" i="20" s="1"/>
  <c r="F43" i="20" l="1"/>
  <c r="E43" i="20" s="1"/>
  <c r="C43" i="20" s="1"/>
  <c r="F44" i="20" l="1"/>
  <c r="E44" i="20" s="1"/>
  <c r="C44" i="20" s="1"/>
  <c r="F45" i="20" l="1"/>
  <c r="E45" i="20" l="1"/>
  <c r="F46" i="20"/>
  <c r="E46" i="20" l="1"/>
  <c r="C45" i="20"/>
</calcChain>
</file>

<file path=xl/sharedStrings.xml><?xml version="1.0" encoding="utf-8"?>
<sst xmlns="http://schemas.openxmlformats.org/spreadsheetml/2006/main" count="181" uniqueCount="95">
  <si>
    <t>Capital inicial (R$)</t>
  </si>
  <si>
    <t>Taxa ao mês</t>
  </si>
  <si>
    <t>Mês (n)</t>
  </si>
  <si>
    <t>Montante - Juros Simples</t>
  </si>
  <si>
    <t>Montante - Juros Compostos</t>
  </si>
  <si>
    <t>Diferença %</t>
  </si>
  <si>
    <t>Parâmetros</t>
  </si>
  <si>
    <t>Multa contratual</t>
  </si>
  <si>
    <t>Evolução mês a mês — juros simples x compostos</t>
  </si>
  <si>
    <t>Taxa nominal anual</t>
  </si>
  <si>
    <t>Períodos de capitalização por ano</t>
  </si>
  <si>
    <t>Taxa efetiva anual</t>
  </si>
  <si>
    <t>Comparação Taxa cobrada x Taxa média</t>
  </si>
  <si>
    <t>Taxa cobrada</t>
  </si>
  <si>
    <t>Taxa média</t>
  </si>
  <si>
    <t>Taxa efetiva mensal</t>
  </si>
  <si>
    <t>Taxa efetiva anual equivalente</t>
  </si>
  <si>
    <t>Taxa efetiva anual (dado)</t>
  </si>
  <si>
    <t>Taxa efetiva mensal equivalente</t>
  </si>
  <si>
    <t>Parte B — Efetiva mensal &lt;-&gt; Efetiva anual</t>
  </si>
  <si>
    <t>Parte A — Nominal anual (com capitalização mensal) -&gt; Efetiva anual</t>
  </si>
  <si>
    <t>Taxa de juros</t>
  </si>
  <si>
    <t>Prestação</t>
  </si>
  <si>
    <t>Juros</t>
  </si>
  <si>
    <t>a.m.</t>
  </si>
  <si>
    <t>Financiamento</t>
  </si>
  <si>
    <t>Período</t>
  </si>
  <si>
    <t>Saldo devedor</t>
  </si>
  <si>
    <t>Amortização</t>
  </si>
  <si>
    <t>Taxa mês</t>
  </si>
  <si>
    <t xml:space="preserve">Período </t>
  </si>
  <si>
    <t>Taxa anual</t>
  </si>
  <si>
    <t>Taxa proporcional</t>
  </si>
  <si>
    <t>Taxa equivalente</t>
  </si>
  <si>
    <t>Informação</t>
  </si>
  <si>
    <t>Valor do principal</t>
  </si>
  <si>
    <t>Taxa de juros mensal</t>
  </si>
  <si>
    <t>Dias de capitalização</t>
  </si>
  <si>
    <t>Taxa diária equivalente</t>
  </si>
  <si>
    <t>Taxa de juros em 47 dias</t>
  </si>
  <si>
    <t>Juros totais</t>
  </si>
  <si>
    <t>Valor total devido (principal + juros)</t>
  </si>
  <si>
    <t xml:space="preserve">Decomposição </t>
  </si>
  <si>
    <t>Dias de atraso</t>
  </si>
  <si>
    <t>Juros de mora (mensal)</t>
  </si>
  <si>
    <t>Juros de mora pro-rata (%)</t>
  </si>
  <si>
    <t>Juros de mora pro-rata (R$)</t>
  </si>
  <si>
    <t>Multa contratual (R$)</t>
  </si>
  <si>
    <t>Valor total devido (principal + juros + multa)</t>
  </si>
  <si>
    <t>Informações iniciais</t>
  </si>
  <si>
    <t>Valor original do crédito</t>
  </si>
  <si>
    <t>Mês/2026</t>
  </si>
  <si>
    <t>Taxa Legal (BACEN) em %</t>
  </si>
  <si>
    <t>Taxa Legal (%)</t>
  </si>
  <si>
    <t>Janeiro</t>
  </si>
  <si>
    <t>Fevereiro</t>
  </si>
  <si>
    <t>Março</t>
  </si>
  <si>
    <t>Abril</t>
  </si>
  <si>
    <t>Maio</t>
  </si>
  <si>
    <t>Junho</t>
  </si>
  <si>
    <t>Soma da taxa legal</t>
  </si>
  <si>
    <t>Valor final devido</t>
  </si>
  <si>
    <t>Soma da taxa legal (juros simples)</t>
  </si>
  <si>
    <t>SISTEMA FRANCÊS DE AMORTIZAÇÃO</t>
  </si>
  <si>
    <t>SISTEMA DE AMORTIZAÇÃO CONSTANTE</t>
  </si>
  <si>
    <t>Principal</t>
  </si>
  <si>
    <t>Prazo</t>
  </si>
  <si>
    <t>meses</t>
  </si>
  <si>
    <t>FVP = 1 / (1 + i x n)</t>
  </si>
  <si>
    <t>Soma FVP</t>
  </si>
  <si>
    <t>FVP</t>
  </si>
  <si>
    <t>Taxa nominal</t>
  </si>
  <si>
    <t>Capitalização</t>
  </si>
  <si>
    <t>composta</t>
  </si>
  <si>
    <t>mensal</t>
  </si>
  <si>
    <t>Taxa efetiva</t>
  </si>
  <si>
    <t>anual</t>
  </si>
  <si>
    <t>Taxa</t>
  </si>
  <si>
    <t>dias</t>
  </si>
  <si>
    <t>a.d.</t>
  </si>
  <si>
    <t>Montante</t>
  </si>
  <si>
    <t>Ou</t>
  </si>
  <si>
    <t>Excesso de cobrança</t>
  </si>
  <si>
    <t>Diferença p.p</t>
  </si>
  <si>
    <t>VP</t>
  </si>
  <si>
    <t>VP = VF / (1 + i)^n</t>
  </si>
  <si>
    <t>PV x</t>
  </si>
  <si>
    <t>[(1 + i)^n] * i</t>
  </si>
  <si>
    <t>[(1 + i)^n] - 1</t>
  </si>
  <si>
    <t>Juro máximo</t>
  </si>
  <si>
    <t>Juro mês</t>
  </si>
  <si>
    <t>MAJS</t>
  </si>
  <si>
    <t>VP = VF / (1 + i * n)</t>
  </si>
  <si>
    <t>MEJS</t>
  </si>
  <si>
    <t>Fator de VP = 1 / (1 + i x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</si>
</sst>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_);[Red]\(&quot;R$&quot;\ #,##0.00\)"/>
    <numFmt numFmtId="164" formatCode="&quot;R$ &quot;#,##0.00"/>
    <numFmt numFmtId="165" formatCode="&quot;R$&quot;\ #,##0.00"/>
    <numFmt numFmtId="166" formatCode="0.0000%"/>
    <numFmt numFmtId="167" formatCode="0.000000"/>
    <numFmt numFmtId="168" formatCode="0.000000%"/>
    <numFmt numFmtId="169" formatCode="0.0000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charset val="1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u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9E6"/>
        <bgColor rgb="FFFFFFFF"/>
      </patternFill>
    </fill>
    <fill>
      <patternFill patternType="solid">
        <fgColor rgb="FF1E2761"/>
        <bgColor rgb="FF333399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11" fillId="0" borderId="0"/>
  </cellStyleXfs>
  <cellXfs count="102">
    <xf numFmtId="0" fontId="0" fillId="0" borderId="0" xfId="0"/>
    <xf numFmtId="10" fontId="2" fillId="0" borderId="1" xfId="1" applyNumberFormat="1" applyFont="1" applyBorder="1" applyAlignment="1">
      <alignment horizontal="center"/>
    </xf>
    <xf numFmtId="0" fontId="2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0" xfId="2" applyFont="1"/>
    <xf numFmtId="10" fontId="7" fillId="2" borderId="1" xfId="0" applyNumberFormat="1" applyFont="1" applyFill="1" applyBorder="1" applyAlignment="1">
      <alignment horizontal="center"/>
    </xf>
    <xf numFmtId="10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10" fontId="2" fillId="6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0" applyFont="1"/>
    <xf numFmtId="10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10" fontId="9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165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10" fontId="7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9" fontId="2" fillId="0" borderId="1" xfId="1" applyFont="1" applyBorder="1" applyAlignment="1">
      <alignment horizontal="center"/>
    </xf>
    <xf numFmtId="166" fontId="2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9" fontId="2" fillId="0" borderId="1" xfId="2" applyNumberFormat="1" applyFont="1" applyBorder="1" applyAlignment="1">
      <alignment horizontal="center"/>
    </xf>
    <xf numFmtId="8" fontId="6" fillId="5" borderId="1" xfId="0" applyNumberFormat="1" applyFont="1" applyFill="1" applyBorder="1" applyAlignment="1">
      <alignment horizontal="center" vertical="center" wrapText="1"/>
    </xf>
    <xf numFmtId="167" fontId="12" fillId="0" borderId="1" xfId="3" applyNumberFormat="1" applyFont="1" applyBorder="1" applyAlignment="1">
      <alignment horizontal="center"/>
    </xf>
    <xf numFmtId="168" fontId="12" fillId="0" borderId="1" xfId="1" applyNumberFormat="1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7" borderId="1" xfId="2" applyFont="1" applyFill="1" applyBorder="1" applyAlignment="1">
      <alignment horizontal="left" vertical="center" wrapText="1"/>
    </xf>
    <xf numFmtId="164" fontId="8" fillId="7" borderId="1" xfId="2" applyNumberFormat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169" fontId="0" fillId="0" borderId="0" xfId="0" applyNumberFormat="1" applyAlignment="1">
      <alignment horizontal="center"/>
    </xf>
    <xf numFmtId="0" fontId="0" fillId="0" borderId="7" xfId="0" applyBorder="1"/>
    <xf numFmtId="8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0" fillId="0" borderId="1" xfId="0" applyFont="1" applyBorder="1" applyAlignment="1">
      <alignment horizontal="center"/>
    </xf>
    <xf numFmtId="165" fontId="0" fillId="8" borderId="1" xfId="0" applyNumberFormat="1" applyFill="1" applyBorder="1" applyAlignment="1">
      <alignment horizontal="center"/>
    </xf>
    <xf numFmtId="8" fontId="10" fillId="0" borderId="0" xfId="0" applyNumberFormat="1" applyFont="1"/>
    <xf numFmtId="8" fontId="10" fillId="0" borderId="0" xfId="0" applyNumberFormat="1" applyFont="1" applyAlignment="1">
      <alignment horizontal="center"/>
    </xf>
    <xf numFmtId="0" fontId="0" fillId="8" borderId="0" xfId="0" applyFill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10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0" fillId="0" borderId="0" xfId="0" applyFont="1"/>
    <xf numFmtId="1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0" fontId="7" fillId="0" borderId="0" xfId="0" applyNumberFormat="1" applyFont="1"/>
    <xf numFmtId="166" fontId="0" fillId="0" borderId="0" xfId="0" applyNumberFormat="1" applyAlignment="1">
      <alignment horizontal="center"/>
    </xf>
    <xf numFmtId="0" fontId="7" fillId="5" borderId="1" xfId="0" applyFont="1" applyFill="1" applyBorder="1" applyAlignment="1">
      <alignment horizontal="left" vertical="center" wrapText="1"/>
    </xf>
    <xf numFmtId="10" fontId="7" fillId="6" borderId="1" xfId="0" applyNumberFormat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13" fillId="0" borderId="0" xfId="0" applyFont="1"/>
    <xf numFmtId="0" fontId="0" fillId="0" borderId="10" xfId="0" applyFont="1" applyFill="1" applyBorder="1" applyAlignment="1">
      <alignment horizontal="center"/>
    </xf>
    <xf numFmtId="8" fontId="0" fillId="9" borderId="8" xfId="0" applyNumberFormat="1" applyFill="1" applyBorder="1" applyAlignment="1">
      <alignment horizontal="center"/>
    </xf>
    <xf numFmtId="165" fontId="0" fillId="0" borderId="0" xfId="0" applyNumberFormat="1" applyFill="1"/>
    <xf numFmtId="0" fontId="0" fillId="0" borderId="0" xfId="0" applyFill="1"/>
    <xf numFmtId="0" fontId="0" fillId="0" borderId="0" xfId="0" applyAlignment="1"/>
    <xf numFmtId="8" fontId="0" fillId="0" borderId="8" xfId="0" applyNumberFormat="1" applyFill="1" applyBorder="1" applyAlignment="1">
      <alignment horizontal="center"/>
    </xf>
    <xf numFmtId="165" fontId="0" fillId="0" borderId="0" xfId="0" applyNumberFormat="1" applyFill="1" applyBorder="1"/>
    <xf numFmtId="0" fontId="0" fillId="0" borderId="0" xfId="0" applyBorder="1"/>
    <xf numFmtId="0" fontId="0" fillId="0" borderId="11" xfId="0" applyBorder="1"/>
    <xf numFmtId="165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0" xfId="0" applyBorder="1" applyAlignment="1">
      <alignment horizontal="center"/>
    </xf>
    <xf numFmtId="16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0" fontId="0" fillId="0" borderId="0" xfId="1" applyNumberFormat="1" applyFont="1" applyAlignment="1">
      <alignment horizontal="center"/>
    </xf>
  </cellXfs>
  <cellStyles count="4">
    <cellStyle name="Normal" xfId="0" builtinId="0"/>
    <cellStyle name="Normal 2" xfId="2" xr:uid="{63D42BBE-FD38-4452-A550-BB9CCD849E7C}"/>
    <cellStyle name="Normal_ipca_201707SerieHist" xfId="3" xr:uid="{450EF7A1-36D2-4D4F-ACF7-73306FA18344}"/>
    <cellStyle name="Porcentagem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Evolução mês a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'Atividade 1'!$C$5</c:f>
              <c:strCache>
                <c:ptCount val="1"/>
                <c:pt idx="0">
                  <c:v>Montante - Juros Simples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'Atividade 1'!$B$7:$B$18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'Atividade 1'!$C$7:$C$18</c:f>
              <c:numCache>
                <c:formatCode>"R$ "#,##0.00</c:formatCode>
                <c:ptCount val="12"/>
                <c:pt idx="0">
                  <c:v>63000</c:v>
                </c:pt>
                <c:pt idx="1">
                  <c:v>66000</c:v>
                </c:pt>
                <c:pt idx="2">
                  <c:v>69000</c:v>
                </c:pt>
                <c:pt idx="3">
                  <c:v>72000</c:v>
                </c:pt>
                <c:pt idx="4">
                  <c:v>75000</c:v>
                </c:pt>
                <c:pt idx="5">
                  <c:v>78000</c:v>
                </c:pt>
                <c:pt idx="6">
                  <c:v>81000</c:v>
                </c:pt>
                <c:pt idx="7">
                  <c:v>84000</c:v>
                </c:pt>
                <c:pt idx="8">
                  <c:v>87000</c:v>
                </c:pt>
                <c:pt idx="9">
                  <c:v>90000</c:v>
                </c:pt>
                <c:pt idx="10">
                  <c:v>93000</c:v>
                </c:pt>
                <c:pt idx="11">
                  <c:v>96000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4-4A43-AA1E-F3328CDDC440}"/>
            </c:ext>
          </c:extLst>
        </c:ser>
        <c:ser>
          <c:idx val="1"/>
          <c:order val="1"/>
          <c:tx>
            <c:strRef>
              <c:f>'Atividade 1'!$D$5</c:f>
              <c:strCache>
                <c:ptCount val="1"/>
                <c:pt idx="0">
                  <c:v>Montante - Juros Compostos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'Atividade 1'!$B$7:$B$18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'Atividade 1'!$D$7:$D$18</c:f>
              <c:numCache>
                <c:formatCode>"R$ "#,##0.00</c:formatCode>
                <c:ptCount val="12"/>
                <c:pt idx="0">
                  <c:v>63000</c:v>
                </c:pt>
                <c:pt idx="1">
                  <c:v>66150</c:v>
                </c:pt>
                <c:pt idx="2">
                  <c:v>69457.500000000015</c:v>
                </c:pt>
                <c:pt idx="3">
                  <c:v>72930.375</c:v>
                </c:pt>
                <c:pt idx="4">
                  <c:v>76576.893750000003</c:v>
                </c:pt>
                <c:pt idx="5">
                  <c:v>80405.738437499997</c:v>
                </c:pt>
                <c:pt idx="6">
                  <c:v>84426.025359375009</c:v>
                </c:pt>
                <c:pt idx="7">
                  <c:v>88647.326627343748</c:v>
                </c:pt>
                <c:pt idx="8">
                  <c:v>93079.692958710948</c:v>
                </c:pt>
                <c:pt idx="9">
                  <c:v>97733.677606646495</c:v>
                </c:pt>
                <c:pt idx="10">
                  <c:v>102620.36148697883</c:v>
                </c:pt>
                <c:pt idx="11">
                  <c:v>107751.37956132775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24-4A43-AA1E-F3328CDDC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5276751"/>
        <c:axId val="723279327"/>
      </c:lineChart>
      <c:catAx>
        <c:axId val="67527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23279327"/>
        <c:crosses val="autoZero"/>
        <c:auto val="1"/>
        <c:lblAlgn val="ctr"/>
        <c:lblOffset val="100"/>
        <c:noMultiLvlLbl val="0"/>
      </c:catAx>
      <c:valAx>
        <c:axId val="72327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 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527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238124</xdr:colOff>
      <xdr:row>3</xdr:row>
      <xdr:rowOff>142875</xdr:rowOff>
    </xdr:from>
    <xdr:to>
      <xdr:col>13</xdr:col>
      <xdr:colOff>581025</xdr:colOff>
      <xdr:row>12</xdr:row>
      <xdr:rowOff>173830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8165FC-1E24-BAE8-4191-D3E378C008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8EA4-66E9-4FA6-B9DC-79FE8F151C23}">
  <dimension ref="B2:H18"/>
  <sheetViews>
    <sheetView topLeftCell="A4" zoomScale="160" zoomScaleNormal="160" workbookViewId="0">
      <selection activeCell="C7" sqref="C7"/>
    </sheetView>
  </sheetViews>
  <sheetFormatPr defaultRowHeight="14.4" x14ac:dyDescent="0.3"/>
  <cols>
    <col min="1" max="1" width="8.88671875" style="2"/>
    <col min="2" max="5" width="16.44140625" style="2" customWidth="1"/>
    <col min="6" max="6" width="18" style="2" hidden="1" customWidth="1"/>
    <col min="7" max="7" width="17.5546875" style="2" hidden="1" customWidth="1"/>
    <col min="8" max="8" width="11.88671875" style="2" hidden="1" customWidth="1"/>
    <col min="9" max="16384" width="8.88671875" style="2"/>
  </cols>
  <sheetData>
    <row r="2" spans="2:8" x14ac:dyDescent="0.3">
      <c r="B2" s="71" t="s">
        <v>8</v>
      </c>
      <c r="C2" s="71"/>
      <c r="D2" s="71"/>
      <c r="E2" s="71"/>
    </row>
    <row r="3" spans="2:8" x14ac:dyDescent="0.3">
      <c r="B3" s="19" t="s">
        <v>0</v>
      </c>
      <c r="C3" s="4">
        <v>60000</v>
      </c>
      <c r="D3" s="19" t="s">
        <v>1</v>
      </c>
      <c r="E3" s="5">
        <v>0.05</v>
      </c>
    </row>
    <row r="5" spans="2:8" ht="28.8" x14ac:dyDescent="0.3">
      <c r="B5" s="3" t="s">
        <v>2</v>
      </c>
      <c r="C5" s="3" t="s">
        <v>3</v>
      </c>
      <c r="D5" s="3" t="s">
        <v>4</v>
      </c>
      <c r="E5" s="3" t="s">
        <v>5</v>
      </c>
    </row>
    <row r="6" spans="2:8" x14ac:dyDescent="0.3">
      <c r="B6" s="6">
        <v>0</v>
      </c>
      <c r="C6" s="7"/>
      <c r="D6" s="7"/>
      <c r="E6" s="8"/>
    </row>
    <row r="7" spans="2:8" x14ac:dyDescent="0.3">
      <c r="B7" s="6">
        <v>1</v>
      </c>
      <c r="C7" s="7">
        <f>$C$3*(1+$E$3*B7)</f>
        <v>63000</v>
      </c>
      <c r="D7" s="7">
        <f>$C$3*(1+$E$3)^B7</f>
        <v>63000</v>
      </c>
      <c r="E7" s="1">
        <f>(D7/C7)-1</f>
        <v>0</v>
      </c>
      <c r="F7" s="2" t="str">
        <f ca="1">_xlfn.FORMULATEXT(C7)</f>
        <v>=$C$3*(1+$E$3*B7)</v>
      </c>
      <c r="G7" s="2" t="str">
        <f ca="1">_xlfn.FORMULATEXT(D7)</f>
        <v>=$C$3*(1+$E$3)^B7</v>
      </c>
      <c r="H7" s="2" t="str">
        <f ca="1">_xlfn.FORMULATEXT(E7)</f>
        <v>=(D7/C7)-1</v>
      </c>
    </row>
    <row r="8" spans="2:8" x14ac:dyDescent="0.3">
      <c r="B8" s="6">
        <v>2</v>
      </c>
      <c r="C8" s="7">
        <f t="shared" ref="C8:C18" si="0">$C$3*(1+$E$3*B8)</f>
        <v>66000</v>
      </c>
      <c r="D8" s="7">
        <f t="shared" ref="D8:D18" si="1">$C$3*(1+$E$3)^B8</f>
        <v>66150</v>
      </c>
      <c r="E8" s="1">
        <f t="shared" ref="E8:E18" si="2">(D8/C8)-1</f>
        <v>2.2727272727272041E-3</v>
      </c>
      <c r="F8" s="2" t="str">
        <f t="shared" ref="F8:F18" ca="1" si="3">_xlfn.FORMULATEXT(C8)</f>
        <v>=$C$3*(1+$E$3*B8)</v>
      </c>
      <c r="G8" s="2" t="str">
        <f t="shared" ref="G8:H18" ca="1" si="4">_xlfn.FORMULATEXT(D8)</f>
        <v>=$C$3*(1+$E$3)^B8</v>
      </c>
      <c r="H8" s="2" t="str">
        <f t="shared" ca="1" si="4"/>
        <v>=(D8/C8)-1</v>
      </c>
    </row>
    <row r="9" spans="2:8" x14ac:dyDescent="0.3">
      <c r="B9" s="6">
        <v>3</v>
      </c>
      <c r="C9" s="7">
        <f t="shared" si="0"/>
        <v>69000</v>
      </c>
      <c r="D9" s="7">
        <f t="shared" si="1"/>
        <v>69457.500000000015</v>
      </c>
      <c r="E9" s="1">
        <f t="shared" si="2"/>
        <v>6.6304347826089405E-3</v>
      </c>
      <c r="F9" s="2" t="str">
        <f t="shared" ca="1" si="3"/>
        <v>=$C$3*(1+$E$3*B9)</v>
      </c>
      <c r="G9" s="2" t="str">
        <f t="shared" ca="1" si="4"/>
        <v>=$C$3*(1+$E$3)^B9</v>
      </c>
      <c r="H9" s="2" t="str">
        <f t="shared" ca="1" si="4"/>
        <v>=(D9/C9)-1</v>
      </c>
    </row>
    <row r="10" spans="2:8" x14ac:dyDescent="0.3">
      <c r="B10" s="6">
        <v>4</v>
      </c>
      <c r="C10" s="7">
        <f t="shared" si="0"/>
        <v>72000</v>
      </c>
      <c r="D10" s="7">
        <f t="shared" si="1"/>
        <v>72930.375</v>
      </c>
      <c r="E10" s="1">
        <f t="shared" si="2"/>
        <v>1.2921874999999972E-2</v>
      </c>
      <c r="F10" s="2" t="str">
        <f t="shared" ca="1" si="3"/>
        <v>=$C$3*(1+$E$3*B10)</v>
      </c>
      <c r="G10" s="2" t="str">
        <f t="shared" ca="1" si="4"/>
        <v>=$C$3*(1+$E$3)^B10</v>
      </c>
      <c r="H10" s="2" t="str">
        <f t="shared" ca="1" si="4"/>
        <v>=(D10/C10)-1</v>
      </c>
    </row>
    <row r="11" spans="2:8" x14ac:dyDescent="0.3">
      <c r="B11" s="6">
        <v>5</v>
      </c>
      <c r="C11" s="7">
        <f t="shared" si="0"/>
        <v>75000</v>
      </c>
      <c r="D11" s="7">
        <f t="shared" si="1"/>
        <v>76576.893750000003</v>
      </c>
      <c r="E11" s="1">
        <f t="shared" si="2"/>
        <v>2.1025250000000106E-2</v>
      </c>
      <c r="F11" s="2" t="str">
        <f t="shared" ca="1" si="3"/>
        <v>=$C$3*(1+$E$3*B11)</v>
      </c>
      <c r="G11" s="2" t="str">
        <f t="shared" ca="1" si="4"/>
        <v>=$C$3*(1+$E$3)^B11</v>
      </c>
      <c r="H11" s="2" t="str">
        <f t="shared" ca="1" si="4"/>
        <v>=(D11/C11)-1</v>
      </c>
    </row>
    <row r="12" spans="2:8" x14ac:dyDescent="0.3">
      <c r="B12" s="6">
        <v>6</v>
      </c>
      <c r="C12" s="7">
        <f t="shared" si="0"/>
        <v>78000</v>
      </c>
      <c r="D12" s="7">
        <f t="shared" si="1"/>
        <v>80405.738437499997</v>
      </c>
      <c r="E12" s="1">
        <f t="shared" si="2"/>
        <v>3.0842800480769261E-2</v>
      </c>
      <c r="F12" s="2" t="str">
        <f t="shared" ca="1" si="3"/>
        <v>=$C$3*(1+$E$3*B12)</v>
      </c>
      <c r="G12" s="2" t="str">
        <f t="shared" ca="1" si="4"/>
        <v>=$C$3*(1+$E$3)^B12</v>
      </c>
      <c r="H12" s="2" t="str">
        <f t="shared" ca="1" si="4"/>
        <v>=(D12/C12)-1</v>
      </c>
    </row>
    <row r="13" spans="2:8" x14ac:dyDescent="0.3">
      <c r="B13" s="6">
        <v>7</v>
      </c>
      <c r="C13" s="7">
        <f t="shared" si="0"/>
        <v>81000</v>
      </c>
      <c r="D13" s="7">
        <f t="shared" si="1"/>
        <v>84426.025359375009</v>
      </c>
      <c r="E13" s="1">
        <f t="shared" si="2"/>
        <v>4.2296609375000127E-2</v>
      </c>
      <c r="F13" s="2" t="str">
        <f t="shared" ca="1" si="3"/>
        <v>=$C$3*(1+$E$3*B13)</v>
      </c>
      <c r="G13" s="2" t="str">
        <f t="shared" ca="1" si="4"/>
        <v>=$C$3*(1+$E$3)^B13</v>
      </c>
      <c r="H13" s="2" t="str">
        <f t="shared" ca="1" si="4"/>
        <v>=(D13/C13)-1</v>
      </c>
    </row>
    <row r="14" spans="2:8" x14ac:dyDescent="0.3">
      <c r="B14" s="6">
        <v>8</v>
      </c>
      <c r="C14" s="7">
        <f t="shared" si="0"/>
        <v>84000</v>
      </c>
      <c r="D14" s="7">
        <f t="shared" si="1"/>
        <v>88647.326627343748</v>
      </c>
      <c r="E14" s="1">
        <f t="shared" si="2"/>
        <v>5.5325316992187457E-2</v>
      </c>
      <c r="F14" s="2" t="str">
        <f t="shared" ca="1" si="3"/>
        <v>=$C$3*(1+$E$3*B14)</v>
      </c>
      <c r="G14" s="2" t="str">
        <f t="shared" ca="1" si="4"/>
        <v>=$C$3*(1+$E$3)^B14</v>
      </c>
      <c r="H14" s="2" t="str">
        <f t="shared" ca="1" si="4"/>
        <v>=(D14/C14)-1</v>
      </c>
    </row>
    <row r="15" spans="2:8" x14ac:dyDescent="0.3">
      <c r="B15" s="6">
        <v>9</v>
      </c>
      <c r="C15" s="7">
        <f t="shared" si="0"/>
        <v>87000</v>
      </c>
      <c r="D15" s="7">
        <f t="shared" si="1"/>
        <v>93079.692958710948</v>
      </c>
      <c r="E15" s="1">
        <f t="shared" si="2"/>
        <v>6.9881528261045434E-2</v>
      </c>
      <c r="F15" s="2" t="str">
        <f t="shared" ca="1" si="3"/>
        <v>=$C$3*(1+$E$3*B15)</v>
      </c>
      <c r="G15" s="2" t="str">
        <f t="shared" ca="1" si="4"/>
        <v>=$C$3*(1+$E$3)^B15</v>
      </c>
      <c r="H15" s="2" t="str">
        <f t="shared" ca="1" si="4"/>
        <v>=(D15/C15)-1</v>
      </c>
    </row>
    <row r="16" spans="2:8" x14ac:dyDescent="0.3">
      <c r="B16" s="6">
        <v>10</v>
      </c>
      <c r="C16" s="7">
        <f t="shared" si="0"/>
        <v>90000</v>
      </c>
      <c r="D16" s="7">
        <f t="shared" si="1"/>
        <v>97733.677606646495</v>
      </c>
      <c r="E16" s="1">
        <f t="shared" si="2"/>
        <v>8.5929751184961045E-2</v>
      </c>
      <c r="F16" s="2" t="str">
        <f t="shared" ca="1" si="3"/>
        <v>=$C$3*(1+$E$3*B16)</v>
      </c>
      <c r="G16" s="2" t="str">
        <f t="shared" ca="1" si="4"/>
        <v>=$C$3*(1+$E$3)^B16</v>
      </c>
      <c r="H16" s="2" t="str">
        <f t="shared" ca="1" si="4"/>
        <v>=(D16/C16)-1</v>
      </c>
    </row>
    <row r="17" spans="2:8" x14ac:dyDescent="0.3">
      <c r="B17" s="6">
        <v>11</v>
      </c>
      <c r="C17" s="7">
        <f t="shared" si="0"/>
        <v>93000</v>
      </c>
      <c r="D17" s="7">
        <f t="shared" si="1"/>
        <v>102620.36148697883</v>
      </c>
      <c r="E17" s="1">
        <f t="shared" si="2"/>
        <v>0.1034447471718154</v>
      </c>
      <c r="F17" s="2" t="str">
        <f t="shared" ca="1" si="3"/>
        <v>=$C$3*(1+$E$3*B17)</v>
      </c>
      <c r="G17" s="2" t="str">
        <f t="shared" ca="1" si="4"/>
        <v>=$C$3*(1+$E$3)^B17</v>
      </c>
      <c r="H17" s="2" t="str">
        <f t="shared" ca="1" si="4"/>
        <v>=(D17/C17)-1</v>
      </c>
    </row>
    <row r="18" spans="2:8" x14ac:dyDescent="0.3">
      <c r="B18" s="6">
        <v>12</v>
      </c>
      <c r="C18" s="7">
        <f t="shared" si="0"/>
        <v>96000</v>
      </c>
      <c r="D18" s="7">
        <f t="shared" si="1"/>
        <v>107751.37956132775</v>
      </c>
      <c r="E18" s="1">
        <f t="shared" si="2"/>
        <v>0.12241020376383061</v>
      </c>
      <c r="F18" s="2" t="str">
        <f t="shared" ca="1" si="3"/>
        <v>=$C$3*(1+$E$3*B18)</v>
      </c>
      <c r="G18" s="2" t="str">
        <f t="shared" ca="1" si="4"/>
        <v>=$C$3*(1+$E$3)^B18</v>
      </c>
      <c r="H18" s="2" t="str">
        <f t="shared" ca="1" si="4"/>
        <v>=(D18/C18)-1</v>
      </c>
    </row>
  </sheetData>
  <mergeCells count="1">
    <mergeCell ref="B2:E2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DBFD-3B5A-4655-BED3-645D47AD05AA}">
  <dimension ref="B2:I22"/>
  <sheetViews>
    <sheetView zoomScale="150" zoomScaleNormal="150" workbookViewId="0">
      <selection activeCell="H7" sqref="H7"/>
    </sheetView>
  </sheetViews>
  <sheetFormatPr defaultRowHeight="14.4" x14ac:dyDescent="0.3"/>
  <cols>
    <col min="2" max="4" width="13.6640625" customWidth="1"/>
    <col min="5" max="5" width="15.77734375" bestFit="1" customWidth="1"/>
    <col min="6" max="6" width="13.6640625" customWidth="1"/>
    <col min="7" max="7" width="14.44140625" bestFit="1" customWidth="1"/>
    <col min="8" max="8" width="17.88671875" bestFit="1" customWidth="1"/>
  </cols>
  <sheetData>
    <row r="2" spans="2:9" x14ac:dyDescent="0.3">
      <c r="B2" s="76" t="s">
        <v>64</v>
      </c>
      <c r="C2" s="77"/>
      <c r="D2" s="77"/>
      <c r="E2" s="77"/>
      <c r="F2" s="78"/>
    </row>
    <row r="3" spans="2:9" x14ac:dyDescent="0.3">
      <c r="B3" s="46" t="s">
        <v>65</v>
      </c>
      <c r="C3" s="27">
        <v>18000</v>
      </c>
      <c r="D3" s="21"/>
      <c r="F3" s="47"/>
      <c r="H3" s="81" t="s">
        <v>85</v>
      </c>
      <c r="I3" s="81"/>
    </row>
    <row r="4" spans="2:9" x14ac:dyDescent="0.3">
      <c r="B4" s="46" t="s">
        <v>66</v>
      </c>
      <c r="C4" s="21">
        <v>12</v>
      </c>
      <c r="D4" s="21" t="s">
        <v>67</v>
      </c>
      <c r="F4" s="47"/>
    </row>
    <row r="5" spans="2:9" x14ac:dyDescent="0.3">
      <c r="B5" s="46" t="s">
        <v>21</v>
      </c>
      <c r="C5" s="48">
        <v>1.4999999999999999E-2</v>
      </c>
      <c r="D5" s="21" t="s">
        <v>24</v>
      </c>
      <c r="F5" s="47"/>
    </row>
    <row r="6" spans="2:9" x14ac:dyDescent="0.3">
      <c r="B6" s="49" t="s">
        <v>28</v>
      </c>
      <c r="C6" s="50">
        <f>C3/C4</f>
        <v>1500</v>
      </c>
      <c r="D6" s="51"/>
      <c r="E6" s="52" t="str">
        <f ca="1">_xlfn.FORMULATEXT(C6)</f>
        <v>=C3/C4</v>
      </c>
      <c r="F6" s="53"/>
    </row>
    <row r="8" spans="2:9" x14ac:dyDescent="0.3">
      <c r="B8" s="54" t="s">
        <v>26</v>
      </c>
      <c r="C8" s="54" t="s">
        <v>27</v>
      </c>
      <c r="D8" s="54" t="s">
        <v>22</v>
      </c>
      <c r="E8" s="54" t="s">
        <v>28</v>
      </c>
      <c r="F8" s="54" t="s">
        <v>23</v>
      </c>
      <c r="G8" s="79" t="s">
        <v>84</v>
      </c>
    </row>
    <row r="9" spans="2:9" x14ac:dyDescent="0.3">
      <c r="B9" s="28">
        <v>0</v>
      </c>
      <c r="C9" s="29">
        <f>C3</f>
        <v>18000</v>
      </c>
      <c r="D9" s="28"/>
      <c r="E9" s="28"/>
      <c r="F9" s="28"/>
      <c r="G9" s="80"/>
    </row>
    <row r="10" spans="2:9" x14ac:dyDescent="0.3">
      <c r="B10" s="28">
        <v>1</v>
      </c>
      <c r="C10" s="29">
        <f>C9-E10</f>
        <v>16500</v>
      </c>
      <c r="D10" s="30">
        <f>E10+F10</f>
        <v>1770</v>
      </c>
      <c r="E10" s="30">
        <f>C$6</f>
        <v>1500</v>
      </c>
      <c r="F10" s="30">
        <f>$C$5*C9</f>
        <v>270</v>
      </c>
      <c r="G10" s="30">
        <f>D10/(1+$C$5)^B10</f>
        <v>1743.8423645320199</v>
      </c>
      <c r="H10" t="str">
        <f ca="1">_xlfn.FORMULATEXT(G10)</f>
        <v>=D10/(1+$C$5)^B10</v>
      </c>
    </row>
    <row r="11" spans="2:9" x14ac:dyDescent="0.3">
      <c r="B11" s="28">
        <v>2</v>
      </c>
      <c r="C11" s="29">
        <f t="shared" ref="C11:C21" si="0">C10-E11</f>
        <v>15000</v>
      </c>
      <c r="D11" s="30">
        <f t="shared" ref="D11:D21" si="1">E11+F11</f>
        <v>1747.5</v>
      </c>
      <c r="E11" s="30">
        <f t="shared" ref="E11:E21" si="2">C$6</f>
        <v>1500</v>
      </c>
      <c r="F11" s="30">
        <f t="shared" ref="F11:F21" si="3">$C$5*C10</f>
        <v>247.5</v>
      </c>
      <c r="G11" s="30">
        <f t="shared" ref="G11:G21" si="4">D11/(1+$C$5)^B11</f>
        <v>1696.231405760878</v>
      </c>
      <c r="H11" t="str">
        <f t="shared" ref="H11:H22" ca="1" si="5">_xlfn.FORMULATEXT(G11)</f>
        <v>=D11/(1+$C$5)^B11</v>
      </c>
    </row>
    <row r="12" spans="2:9" x14ac:dyDescent="0.3">
      <c r="B12" s="28">
        <v>3</v>
      </c>
      <c r="C12" s="29">
        <f t="shared" si="0"/>
        <v>13500</v>
      </c>
      <c r="D12" s="30">
        <f t="shared" si="1"/>
        <v>1725</v>
      </c>
      <c r="E12" s="30">
        <f t="shared" si="2"/>
        <v>1500</v>
      </c>
      <c r="F12" s="30">
        <f t="shared" si="3"/>
        <v>225</v>
      </c>
      <c r="G12" s="30">
        <f t="shared" si="4"/>
        <v>1649.6468142032684</v>
      </c>
      <c r="H12" t="str">
        <f t="shared" ca="1" si="5"/>
        <v>=D12/(1+$C$5)^B12</v>
      </c>
    </row>
    <row r="13" spans="2:9" x14ac:dyDescent="0.3">
      <c r="B13" s="28">
        <v>4</v>
      </c>
      <c r="C13" s="29">
        <f t="shared" si="0"/>
        <v>12000</v>
      </c>
      <c r="D13" s="30">
        <f t="shared" si="1"/>
        <v>1702.5</v>
      </c>
      <c r="E13" s="30">
        <f t="shared" si="2"/>
        <v>1500</v>
      </c>
      <c r="F13" s="30">
        <f t="shared" si="3"/>
        <v>202.5</v>
      </c>
      <c r="G13" s="30">
        <f t="shared" si="4"/>
        <v>1604.0686520631484</v>
      </c>
      <c r="H13" t="str">
        <f t="shared" ca="1" si="5"/>
        <v>=D13/(1+$C$5)^B13</v>
      </c>
    </row>
    <row r="14" spans="2:9" x14ac:dyDescent="0.3">
      <c r="B14" s="28">
        <v>5</v>
      </c>
      <c r="C14" s="29">
        <f t="shared" si="0"/>
        <v>10500</v>
      </c>
      <c r="D14" s="30">
        <f t="shared" si="1"/>
        <v>1680</v>
      </c>
      <c r="E14" s="30">
        <f t="shared" si="2"/>
        <v>1500</v>
      </c>
      <c r="F14" s="30">
        <f t="shared" si="3"/>
        <v>180</v>
      </c>
      <c r="G14" s="30">
        <f t="shared" si="4"/>
        <v>1559.4773466814752</v>
      </c>
      <c r="H14" t="str">
        <f t="shared" ca="1" si="5"/>
        <v>=D14/(1+$C$5)^B14</v>
      </c>
    </row>
    <row r="15" spans="2:9" x14ac:dyDescent="0.3">
      <c r="B15" s="28">
        <v>6</v>
      </c>
      <c r="C15" s="29">
        <f t="shared" si="0"/>
        <v>9000</v>
      </c>
      <c r="D15" s="30">
        <f t="shared" si="1"/>
        <v>1657.5</v>
      </c>
      <c r="E15" s="30">
        <f t="shared" si="2"/>
        <v>1500</v>
      </c>
      <c r="F15" s="30">
        <f t="shared" si="3"/>
        <v>157.5</v>
      </c>
      <c r="G15" s="30">
        <f t="shared" si="4"/>
        <v>1515.8536840983729</v>
      </c>
      <c r="H15" t="str">
        <f t="shared" ca="1" si="5"/>
        <v>=D15/(1+$C$5)^B15</v>
      </c>
    </row>
    <row r="16" spans="2:9" x14ac:dyDescent="0.3">
      <c r="B16" s="28">
        <v>7</v>
      </c>
      <c r="C16" s="29">
        <f t="shared" si="0"/>
        <v>7500</v>
      </c>
      <c r="D16" s="30">
        <f t="shared" si="1"/>
        <v>1635</v>
      </c>
      <c r="E16" s="30">
        <f t="shared" si="2"/>
        <v>1500</v>
      </c>
      <c r="F16" s="30">
        <f t="shared" si="3"/>
        <v>135</v>
      </c>
      <c r="G16" s="30">
        <f t="shared" si="4"/>
        <v>1473.1788027258335</v>
      </c>
      <c r="H16" t="str">
        <f t="shared" ca="1" si="5"/>
        <v>=D16/(1+$C$5)^B16</v>
      </c>
    </row>
    <row r="17" spans="2:8" x14ac:dyDescent="0.3">
      <c r="B17" s="28">
        <v>8</v>
      </c>
      <c r="C17" s="29">
        <f t="shared" si="0"/>
        <v>6000</v>
      </c>
      <c r="D17" s="30">
        <f t="shared" si="1"/>
        <v>1612.5</v>
      </c>
      <c r="E17" s="30">
        <f t="shared" si="2"/>
        <v>1500</v>
      </c>
      <c r="F17" s="30">
        <f t="shared" si="3"/>
        <v>112.5</v>
      </c>
      <c r="G17" s="30">
        <f t="shared" si="4"/>
        <v>1431.4341871290922</v>
      </c>
      <c r="H17" t="str">
        <f t="shared" ca="1" si="5"/>
        <v>=D17/(1+$C$5)^B17</v>
      </c>
    </row>
    <row r="18" spans="2:8" x14ac:dyDescent="0.3">
      <c r="B18" s="28">
        <v>9</v>
      </c>
      <c r="C18" s="29">
        <f t="shared" si="0"/>
        <v>4500</v>
      </c>
      <c r="D18" s="30">
        <f t="shared" si="1"/>
        <v>1590</v>
      </c>
      <c r="E18" s="30">
        <f t="shared" si="2"/>
        <v>1500</v>
      </c>
      <c r="F18" s="30">
        <f t="shared" si="3"/>
        <v>90</v>
      </c>
      <c r="G18" s="30">
        <f t="shared" si="4"/>
        <v>1390.6016619148475</v>
      </c>
      <c r="H18" t="str">
        <f t="shared" ca="1" si="5"/>
        <v>=D18/(1+$C$5)^B18</v>
      </c>
    </row>
    <row r="19" spans="2:8" x14ac:dyDescent="0.3">
      <c r="B19" s="28">
        <v>10</v>
      </c>
      <c r="C19" s="29">
        <f t="shared" si="0"/>
        <v>3000</v>
      </c>
      <c r="D19" s="30">
        <f t="shared" si="1"/>
        <v>1567.5</v>
      </c>
      <c r="E19" s="30">
        <f t="shared" si="2"/>
        <v>1500</v>
      </c>
      <c r="F19" s="30">
        <f t="shared" si="3"/>
        <v>67.5</v>
      </c>
      <c r="G19" s="30">
        <f t="shared" si="4"/>
        <v>1350.6633857245245</v>
      </c>
      <c r="H19" t="str">
        <f t="shared" ca="1" si="5"/>
        <v>=D19/(1+$C$5)^B19</v>
      </c>
    </row>
    <row r="20" spans="2:8" x14ac:dyDescent="0.3">
      <c r="B20" s="28">
        <v>11</v>
      </c>
      <c r="C20" s="29">
        <f t="shared" si="0"/>
        <v>1500</v>
      </c>
      <c r="D20" s="30">
        <f t="shared" si="1"/>
        <v>1545</v>
      </c>
      <c r="E20" s="30">
        <f t="shared" si="2"/>
        <v>1500</v>
      </c>
      <c r="F20" s="30">
        <f t="shared" si="3"/>
        <v>45</v>
      </c>
      <c r="G20" s="30">
        <f t="shared" si="4"/>
        <v>1311.6018453308131</v>
      </c>
      <c r="H20" t="str">
        <f t="shared" ca="1" si="5"/>
        <v>=D20/(1+$C$5)^B20</v>
      </c>
    </row>
    <row r="21" spans="2:8" x14ac:dyDescent="0.3">
      <c r="B21" s="28">
        <v>12</v>
      </c>
      <c r="C21" s="29">
        <f t="shared" si="0"/>
        <v>0</v>
      </c>
      <c r="D21" s="30">
        <f t="shared" si="1"/>
        <v>1522.5</v>
      </c>
      <c r="E21" s="30">
        <f t="shared" si="2"/>
        <v>1500</v>
      </c>
      <c r="F21" s="30">
        <f t="shared" si="3"/>
        <v>22.5</v>
      </c>
      <c r="G21" s="30">
        <f t="shared" si="4"/>
        <v>1273.3998498357412</v>
      </c>
      <c r="H21" t="str">
        <f t="shared" ca="1" si="5"/>
        <v>=D21/(1+$C$5)^B21</v>
      </c>
    </row>
    <row r="22" spans="2:8" x14ac:dyDescent="0.3">
      <c r="D22" s="57">
        <f>SUM(D10:D21)</f>
        <v>19755</v>
      </c>
      <c r="E22" s="57">
        <f>SUM(E10:E21)</f>
        <v>18000</v>
      </c>
      <c r="F22" s="57">
        <f>SUM(F10:F21)</f>
        <v>1755</v>
      </c>
      <c r="G22" s="57">
        <f>SUM(G10:G21)</f>
        <v>18000.000000000011</v>
      </c>
      <c r="H22" t="str">
        <f t="shared" ca="1" si="5"/>
        <v>=SOMA(G10:G21)</v>
      </c>
    </row>
  </sheetData>
  <mergeCells count="2">
    <mergeCell ref="B2:F2"/>
    <mergeCell ref="H3:I3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1B0B-3E2E-4BDC-9E83-F1578A750445}">
  <dimension ref="B2:J24"/>
  <sheetViews>
    <sheetView topLeftCell="A10" zoomScale="150" zoomScaleNormal="150" workbookViewId="0">
      <selection activeCell="D22" sqref="D22"/>
    </sheetView>
  </sheetViews>
  <sheetFormatPr defaultRowHeight="14.4" x14ac:dyDescent="0.3"/>
  <cols>
    <col min="2" max="4" width="13.6640625" customWidth="1"/>
    <col min="5" max="5" width="15.77734375" bestFit="1" customWidth="1"/>
    <col min="6" max="6" width="13.6640625" customWidth="1"/>
    <col min="7" max="7" width="14.44140625" bestFit="1" customWidth="1"/>
    <col min="8" max="8" width="17.88671875" bestFit="1" customWidth="1"/>
    <col min="9" max="9" width="10.77734375" bestFit="1" customWidth="1"/>
  </cols>
  <sheetData>
    <row r="2" spans="2:10" x14ac:dyDescent="0.3">
      <c r="B2" s="76" t="s">
        <v>64</v>
      </c>
      <c r="C2" s="77"/>
      <c r="D2" s="77"/>
      <c r="E2" s="77"/>
      <c r="F2" s="78"/>
    </row>
    <row r="3" spans="2:10" x14ac:dyDescent="0.3">
      <c r="B3" s="46" t="s">
        <v>65</v>
      </c>
      <c r="C3" s="27">
        <v>18000</v>
      </c>
      <c r="D3" s="21"/>
      <c r="F3" s="47"/>
      <c r="H3" s="21" t="s">
        <v>86</v>
      </c>
      <c r="I3" s="82" t="s">
        <v>87</v>
      </c>
    </row>
    <row r="4" spans="2:10" x14ac:dyDescent="0.3">
      <c r="B4" s="46" t="s">
        <v>66</v>
      </c>
      <c r="C4" s="21">
        <v>12</v>
      </c>
      <c r="D4" s="21" t="s">
        <v>67</v>
      </c>
      <c r="F4" s="47"/>
      <c r="I4" t="s">
        <v>88</v>
      </c>
    </row>
    <row r="5" spans="2:10" x14ac:dyDescent="0.3">
      <c r="B5" s="46" t="s">
        <v>21</v>
      </c>
      <c r="C5" s="48">
        <v>1.4999999999999999E-2</v>
      </c>
      <c r="D5" s="21" t="s">
        <v>24</v>
      </c>
      <c r="F5" s="47"/>
    </row>
    <row r="6" spans="2:10" x14ac:dyDescent="0.3">
      <c r="B6" s="49" t="s">
        <v>22</v>
      </c>
      <c r="C6" s="84">
        <f>-PMT(C5,C4,C3)</f>
        <v>1650.239872312121</v>
      </c>
      <c r="D6" s="51"/>
      <c r="E6" s="52" t="str">
        <f ca="1">_xlfn.FORMULATEXT(C6)</f>
        <v>=-PGTO(C5;C4;C3)</v>
      </c>
      <c r="F6" s="53"/>
      <c r="H6" s="27">
        <f>C3</f>
        <v>18000</v>
      </c>
      <c r="I6">
        <f>((1+C5)^C4)*C5</f>
        <v>1.7934272571923E-2</v>
      </c>
      <c r="J6">
        <f>I6/I7</f>
        <v>9.1679992906229732E-2</v>
      </c>
    </row>
    <row r="7" spans="2:10" x14ac:dyDescent="0.3">
      <c r="I7">
        <f>((1+C5)^C4)-1</f>
        <v>0.19561817146153326</v>
      </c>
    </row>
    <row r="8" spans="2:10" x14ac:dyDescent="0.3">
      <c r="B8" s="54" t="s">
        <v>26</v>
      </c>
      <c r="C8" s="54" t="s">
        <v>27</v>
      </c>
      <c r="D8" s="54" t="s">
        <v>22</v>
      </c>
      <c r="E8" s="54" t="s">
        <v>28</v>
      </c>
      <c r="F8" s="54" t="s">
        <v>23</v>
      </c>
      <c r="G8" s="79" t="s">
        <v>84</v>
      </c>
      <c r="H8" s="83" t="s">
        <v>22</v>
      </c>
      <c r="I8" s="85">
        <f>H6*J6</f>
        <v>1650.2398723121353</v>
      </c>
      <c r="J8" s="86"/>
    </row>
    <row r="9" spans="2:10" x14ac:dyDescent="0.3">
      <c r="B9" s="28">
        <v>0</v>
      </c>
      <c r="C9" s="29">
        <f>C3</f>
        <v>18000</v>
      </c>
      <c r="D9" s="28"/>
      <c r="E9" s="28"/>
      <c r="F9" s="28"/>
      <c r="G9" s="80"/>
    </row>
    <row r="10" spans="2:10" x14ac:dyDescent="0.3">
      <c r="B10" s="28">
        <v>1</v>
      </c>
      <c r="C10" s="29">
        <f>C9-E10</f>
        <v>16619.760127687878</v>
      </c>
      <c r="D10" s="30">
        <f>$C$6</f>
        <v>1650.239872312121</v>
      </c>
      <c r="E10" s="30">
        <f>D10-F10</f>
        <v>1380.239872312121</v>
      </c>
      <c r="F10" s="30">
        <f>$C$5*C9</f>
        <v>270</v>
      </c>
      <c r="G10" s="30">
        <f>D10/(1+$C$5)^B10</f>
        <v>1625.8520909479025</v>
      </c>
      <c r="H10" t="str">
        <f ca="1">_xlfn.FORMULATEXT(G10)</f>
        <v>=D10/(1+$C$5)^B10</v>
      </c>
    </row>
    <row r="11" spans="2:10" x14ac:dyDescent="0.3">
      <c r="B11" s="28">
        <v>2</v>
      </c>
      <c r="C11" s="29">
        <f t="shared" ref="C11:C21" si="0">C10-E11</f>
        <v>15218.816657291074</v>
      </c>
      <c r="D11" s="30">
        <f t="shared" ref="D11:D21" si="1">$C$6</f>
        <v>1650.239872312121</v>
      </c>
      <c r="E11" s="30">
        <f t="shared" ref="E11:E21" si="2">D11-F11</f>
        <v>1400.9434703968027</v>
      </c>
      <c r="F11" s="30">
        <f t="shared" ref="F11:F21" si="3">$C$5*C10</f>
        <v>249.29640191531814</v>
      </c>
      <c r="G11" s="30">
        <f t="shared" ref="G11:G21" si="4">D11/(1+$C$5)^B11</f>
        <v>1601.824720145717</v>
      </c>
      <c r="H11" t="str">
        <f t="shared" ref="H11:H22" ca="1" si="5">_xlfn.FORMULATEXT(G11)</f>
        <v>=D11/(1+$C$5)^B11</v>
      </c>
    </row>
    <row r="12" spans="2:10" x14ac:dyDescent="0.3">
      <c r="B12" s="28">
        <v>3</v>
      </c>
      <c r="C12" s="29">
        <f t="shared" si="0"/>
        <v>13796.859034838319</v>
      </c>
      <c r="D12" s="30">
        <f t="shared" si="1"/>
        <v>1650.239872312121</v>
      </c>
      <c r="E12" s="30">
        <f t="shared" si="2"/>
        <v>1421.9576224527548</v>
      </c>
      <c r="F12" s="30">
        <f t="shared" si="3"/>
        <v>228.28224985936609</v>
      </c>
      <c r="G12" s="30">
        <f t="shared" si="4"/>
        <v>1578.1524336411007</v>
      </c>
      <c r="H12" t="str">
        <f t="shared" ca="1" si="5"/>
        <v>=D12/(1+$C$5)^B12</v>
      </c>
    </row>
    <row r="13" spans="2:10" x14ac:dyDescent="0.3">
      <c r="B13" s="28">
        <v>4</v>
      </c>
      <c r="C13" s="29">
        <f t="shared" si="0"/>
        <v>12353.572048048773</v>
      </c>
      <c r="D13" s="30">
        <f t="shared" si="1"/>
        <v>1650.239872312121</v>
      </c>
      <c r="E13" s="30">
        <f t="shared" si="2"/>
        <v>1443.2869867895461</v>
      </c>
      <c r="F13" s="30">
        <f t="shared" si="3"/>
        <v>206.95288552257477</v>
      </c>
      <c r="G13" s="30">
        <f t="shared" si="4"/>
        <v>1554.8299838828582</v>
      </c>
      <c r="H13" t="str">
        <f t="shared" ca="1" si="5"/>
        <v>=D13/(1+$C$5)^B13</v>
      </c>
    </row>
    <row r="14" spans="2:10" x14ac:dyDescent="0.3">
      <c r="B14" s="28">
        <v>5</v>
      </c>
      <c r="C14" s="29">
        <f t="shared" si="0"/>
        <v>10888.635756457383</v>
      </c>
      <c r="D14" s="30">
        <f t="shared" si="1"/>
        <v>1650.239872312121</v>
      </c>
      <c r="E14" s="30">
        <f t="shared" si="2"/>
        <v>1464.9362915913894</v>
      </c>
      <c r="F14" s="30">
        <f t="shared" si="3"/>
        <v>185.30358072073159</v>
      </c>
      <c r="G14" s="30">
        <f t="shared" si="4"/>
        <v>1531.8522008698112</v>
      </c>
      <c r="H14" t="str">
        <f t="shared" ca="1" si="5"/>
        <v>=D14/(1+$C$5)^B14</v>
      </c>
    </row>
    <row r="15" spans="2:10" x14ac:dyDescent="0.3">
      <c r="B15" s="28">
        <v>6</v>
      </c>
      <c r="C15" s="29">
        <f t="shared" si="0"/>
        <v>9401.7254204921228</v>
      </c>
      <c r="D15" s="30">
        <f t="shared" si="1"/>
        <v>1650.239872312121</v>
      </c>
      <c r="E15" s="30">
        <f t="shared" si="2"/>
        <v>1486.9103359652602</v>
      </c>
      <c r="F15" s="30">
        <f t="shared" si="3"/>
        <v>163.32953634686075</v>
      </c>
      <c r="G15" s="30">
        <f t="shared" si="4"/>
        <v>1509.2139910047404</v>
      </c>
      <c r="H15" t="str">
        <f t="shared" ca="1" si="5"/>
        <v>=D15/(1+$C$5)^B15</v>
      </c>
    </row>
    <row r="16" spans="2:10" x14ac:dyDescent="0.3">
      <c r="B16" s="28">
        <v>7</v>
      </c>
      <c r="C16" s="29">
        <f t="shared" si="0"/>
        <v>7892.5114294873838</v>
      </c>
      <c r="D16" s="30">
        <f t="shared" si="1"/>
        <v>1650.239872312121</v>
      </c>
      <c r="E16" s="30">
        <f t="shared" si="2"/>
        <v>1509.213991004739</v>
      </c>
      <c r="F16" s="30">
        <f t="shared" si="3"/>
        <v>141.02588130738184</v>
      </c>
      <c r="G16" s="30">
        <f t="shared" si="4"/>
        <v>1486.9103359652618</v>
      </c>
      <c r="H16" t="str">
        <f t="shared" ca="1" si="5"/>
        <v>=D16/(1+$C$5)^B16</v>
      </c>
    </row>
    <row r="17" spans="2:8" x14ac:dyDescent="0.3">
      <c r="B17" s="28">
        <v>8</v>
      </c>
      <c r="C17" s="29">
        <f t="shared" si="0"/>
        <v>6360.6592286175737</v>
      </c>
      <c r="D17" s="30">
        <f t="shared" si="1"/>
        <v>1650.239872312121</v>
      </c>
      <c r="E17" s="30">
        <f t="shared" si="2"/>
        <v>1531.8522008698103</v>
      </c>
      <c r="F17" s="30">
        <f t="shared" si="3"/>
        <v>118.38767144231075</v>
      </c>
      <c r="G17" s="30">
        <f t="shared" si="4"/>
        <v>1464.936291591391</v>
      </c>
      <c r="H17" t="str">
        <f t="shared" ca="1" si="5"/>
        <v>=D17/(1+$C$5)^B17</v>
      </c>
    </row>
    <row r="18" spans="2:8" x14ac:dyDescent="0.3">
      <c r="B18" s="28">
        <v>9</v>
      </c>
      <c r="C18" s="29">
        <f t="shared" si="0"/>
        <v>4805.8292447347167</v>
      </c>
      <c r="D18" s="30">
        <f t="shared" si="1"/>
        <v>1650.239872312121</v>
      </c>
      <c r="E18" s="30">
        <f t="shared" si="2"/>
        <v>1554.8299838828573</v>
      </c>
      <c r="F18" s="30">
        <f t="shared" si="3"/>
        <v>95.409888429263603</v>
      </c>
      <c r="G18" s="30">
        <f t="shared" si="4"/>
        <v>1443.2869867895479</v>
      </c>
      <c r="H18" t="str">
        <f t="shared" ca="1" si="5"/>
        <v>=D18/(1+$C$5)^B18</v>
      </c>
    </row>
    <row r="19" spans="2:8" x14ac:dyDescent="0.3">
      <c r="B19" s="28">
        <v>10</v>
      </c>
      <c r="C19" s="29">
        <f t="shared" si="0"/>
        <v>3227.6768110936164</v>
      </c>
      <c r="D19" s="30">
        <f t="shared" si="1"/>
        <v>1650.239872312121</v>
      </c>
      <c r="E19" s="30">
        <f t="shared" si="2"/>
        <v>1578.1524336411003</v>
      </c>
      <c r="F19" s="30">
        <f t="shared" si="3"/>
        <v>72.087438671020749</v>
      </c>
      <c r="G19" s="30">
        <f t="shared" si="4"/>
        <v>1421.9576224527566</v>
      </c>
      <c r="H19" t="str">
        <f t="shared" ca="1" si="5"/>
        <v>=D19/(1+$C$5)^B19</v>
      </c>
    </row>
    <row r="20" spans="2:8" x14ac:dyDescent="0.3">
      <c r="B20" s="28">
        <v>11</v>
      </c>
      <c r="C20" s="29">
        <f t="shared" si="0"/>
        <v>1625.8520909478996</v>
      </c>
      <c r="D20" s="30">
        <f t="shared" si="1"/>
        <v>1650.239872312121</v>
      </c>
      <c r="E20" s="30">
        <f t="shared" si="2"/>
        <v>1601.8247201457168</v>
      </c>
      <c r="F20" s="30">
        <f t="shared" si="3"/>
        <v>48.415152166404241</v>
      </c>
      <c r="G20" s="30">
        <f t="shared" si="4"/>
        <v>1400.9434703968047</v>
      </c>
      <c r="H20" t="str">
        <f t="shared" ca="1" si="5"/>
        <v>=D20/(1+$C$5)^B20</v>
      </c>
    </row>
    <row r="21" spans="2:8" x14ac:dyDescent="0.3">
      <c r="B21" s="28">
        <v>12</v>
      </c>
      <c r="C21" s="29">
        <f t="shared" si="0"/>
        <v>-2.9558577807620168E-12</v>
      </c>
      <c r="D21" s="30">
        <f t="shared" si="1"/>
        <v>1650.239872312121</v>
      </c>
      <c r="E21" s="30">
        <f t="shared" si="2"/>
        <v>1625.8520909479025</v>
      </c>
      <c r="F21" s="30">
        <f t="shared" si="3"/>
        <v>24.387781364218494</v>
      </c>
      <c r="G21" s="30">
        <f t="shared" si="4"/>
        <v>1380.2398723121232</v>
      </c>
      <c r="H21" t="str">
        <f t="shared" ca="1" si="5"/>
        <v>=D21/(1+$C$5)^B21</v>
      </c>
    </row>
    <row r="22" spans="2:8" x14ac:dyDescent="0.3">
      <c r="D22" s="57">
        <f>SUM(D10:D21)</f>
        <v>19802.878467745453</v>
      </c>
      <c r="E22" s="57">
        <f>SUM(E10:E21)</f>
        <v>18000</v>
      </c>
      <c r="F22" s="57">
        <f>SUM(F10:F21)</f>
        <v>1802.8784677454507</v>
      </c>
      <c r="G22" s="57">
        <f>SUM(G10:G21)</f>
        <v>18000.000000000015</v>
      </c>
      <c r="H22" t="str">
        <f t="shared" ca="1" si="5"/>
        <v>=SOMA(G10:G21)</v>
      </c>
    </row>
    <row r="24" spans="2:8" x14ac:dyDescent="0.3">
      <c r="D24" s="101">
        <f>(D22/MEJS!E23)-1</f>
        <v>4.6639226818150359E-3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168B-652C-4993-BFA6-DEF9DB9A60E0}">
  <dimension ref="B2:I22"/>
  <sheetViews>
    <sheetView zoomScale="150" zoomScaleNormal="150" workbookViewId="0">
      <selection activeCell="D22" sqref="D22"/>
    </sheetView>
  </sheetViews>
  <sheetFormatPr defaultRowHeight="14.4" x14ac:dyDescent="0.3"/>
  <cols>
    <col min="2" max="4" width="13.6640625" customWidth="1"/>
    <col min="5" max="5" width="15.77734375" bestFit="1" customWidth="1"/>
    <col min="6" max="6" width="13.6640625" customWidth="1"/>
    <col min="7" max="7" width="14.44140625" bestFit="1" customWidth="1"/>
    <col min="8" max="8" width="17.88671875" bestFit="1" customWidth="1"/>
    <col min="9" max="9" width="12.109375" bestFit="1" customWidth="1"/>
  </cols>
  <sheetData>
    <row r="2" spans="2:9" x14ac:dyDescent="0.3">
      <c r="B2" s="76" t="s">
        <v>91</v>
      </c>
      <c r="C2" s="77"/>
      <c r="D2" s="77"/>
      <c r="E2" s="77"/>
      <c r="F2" s="78"/>
    </row>
    <row r="3" spans="2:9" x14ac:dyDescent="0.3">
      <c r="B3" s="46" t="s">
        <v>65</v>
      </c>
      <c r="C3" s="27">
        <v>18000</v>
      </c>
      <c r="D3" s="21"/>
      <c r="F3" s="47"/>
      <c r="H3" s="87" t="s">
        <v>89</v>
      </c>
      <c r="I3" s="27">
        <f>C5*C3</f>
        <v>270</v>
      </c>
    </row>
    <row r="4" spans="2:9" x14ac:dyDescent="0.3">
      <c r="B4" s="46" t="s">
        <v>66</v>
      </c>
      <c r="C4" s="21">
        <v>12</v>
      </c>
      <c r="D4" s="21" t="s">
        <v>67</v>
      </c>
      <c r="F4" s="47"/>
      <c r="H4" t="s">
        <v>90</v>
      </c>
      <c r="I4" s="27">
        <f>I3/C4</f>
        <v>22.5</v>
      </c>
    </row>
    <row r="5" spans="2:9" x14ac:dyDescent="0.3">
      <c r="B5" s="46" t="s">
        <v>21</v>
      </c>
      <c r="C5" s="48">
        <v>1.4999999999999999E-2</v>
      </c>
      <c r="D5" s="21" t="s">
        <v>24</v>
      </c>
      <c r="F5" s="47"/>
    </row>
    <row r="6" spans="2:9" x14ac:dyDescent="0.3">
      <c r="B6" s="49" t="s">
        <v>28</v>
      </c>
      <c r="C6" s="50">
        <f>C3/C4</f>
        <v>1500</v>
      </c>
      <c r="D6" s="51"/>
      <c r="E6" s="52" t="str">
        <f ca="1">_xlfn.FORMULATEXT(C6)</f>
        <v>=C3/C4</v>
      </c>
      <c r="F6" s="53"/>
      <c r="H6" s="81" t="s">
        <v>92</v>
      </c>
      <c r="I6" s="81"/>
    </row>
    <row r="8" spans="2:9" x14ac:dyDescent="0.3">
      <c r="B8" s="54" t="s">
        <v>26</v>
      </c>
      <c r="C8" s="54" t="s">
        <v>27</v>
      </c>
      <c r="D8" s="54" t="s">
        <v>22</v>
      </c>
      <c r="E8" s="54" t="s">
        <v>28</v>
      </c>
      <c r="F8" s="54" t="s">
        <v>23</v>
      </c>
      <c r="G8" s="79" t="s">
        <v>84</v>
      </c>
    </row>
    <row r="9" spans="2:9" x14ac:dyDescent="0.3">
      <c r="B9" s="28">
        <v>0</v>
      </c>
      <c r="C9" s="29">
        <f>C3</f>
        <v>18000</v>
      </c>
      <c r="D9" s="28"/>
      <c r="E9" s="28"/>
      <c r="F9" s="28"/>
      <c r="G9" s="80"/>
    </row>
    <row r="10" spans="2:9" x14ac:dyDescent="0.3">
      <c r="B10" s="28">
        <v>1</v>
      </c>
      <c r="C10" s="29">
        <f>C9-E10</f>
        <v>16500</v>
      </c>
      <c r="D10" s="30">
        <f>E10+F10</f>
        <v>1522.5</v>
      </c>
      <c r="E10" s="30">
        <f>C$6</f>
        <v>1500</v>
      </c>
      <c r="F10" s="30">
        <f>$I$4*B10</f>
        <v>22.5</v>
      </c>
      <c r="G10" s="30">
        <f>D10/(1+$C$5*B10)</f>
        <v>1500.0000000000002</v>
      </c>
      <c r="H10" t="str">
        <f ca="1">_xlfn.FORMULATEXT(G10)</f>
        <v>=D10/(1+$C$5*B10)</v>
      </c>
    </row>
    <row r="11" spans="2:9" x14ac:dyDescent="0.3">
      <c r="B11" s="28">
        <v>2</v>
      </c>
      <c r="C11" s="29">
        <f t="shared" ref="C11:C21" si="0">C10-E11</f>
        <v>15000</v>
      </c>
      <c r="D11" s="30">
        <f t="shared" ref="D11:D21" si="1">E11+F11</f>
        <v>1545</v>
      </c>
      <c r="E11" s="30">
        <f t="shared" ref="E11:E21" si="2">C$6</f>
        <v>1500</v>
      </c>
      <c r="F11" s="30">
        <f>$I$4*B11</f>
        <v>45</v>
      </c>
      <c r="G11" s="30">
        <f t="shared" ref="G11:G21" si="3">D11/(1+$C$5*B11)</f>
        <v>1500</v>
      </c>
      <c r="H11" t="str">
        <f t="shared" ref="H11:H22" ca="1" si="4">_xlfn.FORMULATEXT(G11)</f>
        <v>=D11/(1+$C$5*B11)</v>
      </c>
    </row>
    <row r="12" spans="2:9" x14ac:dyDescent="0.3">
      <c r="B12" s="28">
        <v>3</v>
      </c>
      <c r="C12" s="29">
        <f t="shared" si="0"/>
        <v>13500</v>
      </c>
      <c r="D12" s="30">
        <f t="shared" si="1"/>
        <v>1567.5</v>
      </c>
      <c r="E12" s="30">
        <f t="shared" si="2"/>
        <v>1500</v>
      </c>
      <c r="F12" s="30">
        <f>$I$4*B12</f>
        <v>67.5</v>
      </c>
      <c r="G12" s="30">
        <f t="shared" si="3"/>
        <v>1500</v>
      </c>
      <c r="H12" t="str">
        <f t="shared" ca="1" si="4"/>
        <v>=D12/(1+$C$5*B12)</v>
      </c>
    </row>
    <row r="13" spans="2:9" x14ac:dyDescent="0.3">
      <c r="B13" s="28">
        <v>4</v>
      </c>
      <c r="C13" s="29">
        <f t="shared" si="0"/>
        <v>12000</v>
      </c>
      <c r="D13" s="30">
        <f t="shared" si="1"/>
        <v>1590</v>
      </c>
      <c r="E13" s="30">
        <f t="shared" si="2"/>
        <v>1500</v>
      </c>
      <c r="F13" s="30">
        <f t="shared" ref="F13:F21" si="5">$I$4*B13</f>
        <v>90</v>
      </c>
      <c r="G13" s="30">
        <f t="shared" si="3"/>
        <v>1500</v>
      </c>
      <c r="H13" t="str">
        <f t="shared" ca="1" si="4"/>
        <v>=D13/(1+$C$5*B13)</v>
      </c>
    </row>
    <row r="14" spans="2:9" x14ac:dyDescent="0.3">
      <c r="B14" s="28">
        <v>5</v>
      </c>
      <c r="C14" s="29">
        <f t="shared" si="0"/>
        <v>10500</v>
      </c>
      <c r="D14" s="30">
        <f t="shared" si="1"/>
        <v>1612.5</v>
      </c>
      <c r="E14" s="30">
        <f t="shared" si="2"/>
        <v>1500</v>
      </c>
      <c r="F14" s="30">
        <f t="shared" si="5"/>
        <v>112.5</v>
      </c>
      <c r="G14" s="30">
        <f t="shared" si="3"/>
        <v>1500</v>
      </c>
      <c r="H14" t="str">
        <f t="shared" ca="1" si="4"/>
        <v>=D14/(1+$C$5*B14)</v>
      </c>
    </row>
    <row r="15" spans="2:9" x14ac:dyDescent="0.3">
      <c r="B15" s="28">
        <v>6</v>
      </c>
      <c r="C15" s="29">
        <f t="shared" si="0"/>
        <v>9000</v>
      </c>
      <c r="D15" s="30">
        <f t="shared" si="1"/>
        <v>1635</v>
      </c>
      <c r="E15" s="30">
        <f t="shared" si="2"/>
        <v>1500</v>
      </c>
      <c r="F15" s="30">
        <f t="shared" si="5"/>
        <v>135</v>
      </c>
      <c r="G15" s="30">
        <f t="shared" si="3"/>
        <v>1500</v>
      </c>
      <c r="H15" t="str">
        <f t="shared" ca="1" si="4"/>
        <v>=D15/(1+$C$5*B15)</v>
      </c>
    </row>
    <row r="16" spans="2:9" x14ac:dyDescent="0.3">
      <c r="B16" s="28">
        <v>7</v>
      </c>
      <c r="C16" s="29">
        <f t="shared" si="0"/>
        <v>7500</v>
      </c>
      <c r="D16" s="30">
        <f t="shared" si="1"/>
        <v>1657.5</v>
      </c>
      <c r="E16" s="30">
        <f t="shared" si="2"/>
        <v>1500</v>
      </c>
      <c r="F16" s="30">
        <f t="shared" si="5"/>
        <v>157.5</v>
      </c>
      <c r="G16" s="30">
        <f t="shared" si="3"/>
        <v>1500</v>
      </c>
      <c r="H16" t="str">
        <f t="shared" ca="1" si="4"/>
        <v>=D16/(1+$C$5*B16)</v>
      </c>
    </row>
    <row r="17" spans="2:8" x14ac:dyDescent="0.3">
      <c r="B17" s="28">
        <v>8</v>
      </c>
      <c r="C17" s="29">
        <f t="shared" si="0"/>
        <v>6000</v>
      </c>
      <c r="D17" s="30">
        <f t="shared" si="1"/>
        <v>1680</v>
      </c>
      <c r="E17" s="30">
        <f t="shared" si="2"/>
        <v>1500</v>
      </c>
      <c r="F17" s="30">
        <f t="shared" si="5"/>
        <v>180</v>
      </c>
      <c r="G17" s="30">
        <f t="shared" si="3"/>
        <v>1499.9999999999998</v>
      </c>
      <c r="H17" t="str">
        <f t="shared" ca="1" si="4"/>
        <v>=D17/(1+$C$5*B17)</v>
      </c>
    </row>
    <row r="18" spans="2:8" x14ac:dyDescent="0.3">
      <c r="B18" s="28">
        <v>9</v>
      </c>
      <c r="C18" s="29">
        <f t="shared" si="0"/>
        <v>4500</v>
      </c>
      <c r="D18" s="30">
        <f t="shared" si="1"/>
        <v>1702.5</v>
      </c>
      <c r="E18" s="30">
        <f t="shared" si="2"/>
        <v>1500</v>
      </c>
      <c r="F18" s="30">
        <f t="shared" si="5"/>
        <v>202.5</v>
      </c>
      <c r="G18" s="30">
        <f t="shared" si="3"/>
        <v>1500</v>
      </c>
      <c r="H18" t="str">
        <f t="shared" ca="1" si="4"/>
        <v>=D18/(1+$C$5*B18)</v>
      </c>
    </row>
    <row r="19" spans="2:8" x14ac:dyDescent="0.3">
      <c r="B19" s="28">
        <v>10</v>
      </c>
      <c r="C19" s="29">
        <f t="shared" si="0"/>
        <v>3000</v>
      </c>
      <c r="D19" s="30">
        <f t="shared" si="1"/>
        <v>1725</v>
      </c>
      <c r="E19" s="30">
        <f t="shared" si="2"/>
        <v>1500</v>
      </c>
      <c r="F19" s="30">
        <f t="shared" si="5"/>
        <v>225</v>
      </c>
      <c r="G19" s="30">
        <f t="shared" si="3"/>
        <v>1500.0000000000002</v>
      </c>
      <c r="H19" t="str">
        <f t="shared" ca="1" si="4"/>
        <v>=D19/(1+$C$5*B19)</v>
      </c>
    </row>
    <row r="20" spans="2:8" x14ac:dyDescent="0.3">
      <c r="B20" s="28">
        <v>11</v>
      </c>
      <c r="C20" s="29">
        <f t="shared" si="0"/>
        <v>1500</v>
      </c>
      <c r="D20" s="30">
        <f t="shared" si="1"/>
        <v>1747.5</v>
      </c>
      <c r="E20" s="30">
        <f t="shared" si="2"/>
        <v>1500</v>
      </c>
      <c r="F20" s="30">
        <f t="shared" si="5"/>
        <v>247.5</v>
      </c>
      <c r="G20" s="30">
        <f t="shared" si="3"/>
        <v>1500</v>
      </c>
      <c r="H20" t="str">
        <f t="shared" ca="1" si="4"/>
        <v>=D20/(1+$C$5*B20)</v>
      </c>
    </row>
    <row r="21" spans="2:8" x14ac:dyDescent="0.3">
      <c r="B21" s="28">
        <v>12</v>
      </c>
      <c r="C21" s="29">
        <f t="shared" si="0"/>
        <v>0</v>
      </c>
      <c r="D21" s="30">
        <f t="shared" si="1"/>
        <v>1770</v>
      </c>
      <c r="E21" s="30">
        <f t="shared" si="2"/>
        <v>1500</v>
      </c>
      <c r="F21" s="30">
        <f t="shared" si="5"/>
        <v>270</v>
      </c>
      <c r="G21" s="30">
        <f t="shared" si="3"/>
        <v>1500</v>
      </c>
      <c r="H21" t="str">
        <f t="shared" ca="1" si="4"/>
        <v>=D21/(1+$C$5*B21)</v>
      </c>
    </row>
    <row r="22" spans="2:8" x14ac:dyDescent="0.3">
      <c r="D22" s="57">
        <f>SUM(D10:D21)</f>
        <v>19755</v>
      </c>
      <c r="E22" s="57">
        <f>SUM(E10:E21)</f>
        <v>18000</v>
      </c>
      <c r="F22" s="57">
        <f>SUM(F10:F21)</f>
        <v>1755</v>
      </c>
      <c r="G22" s="57">
        <f>SUM(G10:G21)</f>
        <v>18000</v>
      </c>
      <c r="H22" t="str">
        <f t="shared" ca="1" si="4"/>
        <v>=SOMA(G10:G21)</v>
      </c>
    </row>
  </sheetData>
  <mergeCells count="2">
    <mergeCell ref="B2:F2"/>
    <mergeCell ref="H6:I6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9C86-E456-428F-8FFE-E91C8EFAABB7}">
  <dimension ref="B2:I23"/>
  <sheetViews>
    <sheetView zoomScale="150" zoomScaleNormal="150" workbookViewId="0">
      <selection activeCell="I7" sqref="I7"/>
    </sheetView>
  </sheetViews>
  <sheetFormatPr defaultRowHeight="14.4" x14ac:dyDescent="0.3"/>
  <cols>
    <col min="2" max="5" width="13.6640625" customWidth="1"/>
    <col min="6" max="6" width="15.77734375" bestFit="1" customWidth="1"/>
    <col min="7" max="7" width="13.6640625" customWidth="1"/>
    <col min="8" max="8" width="10.77734375" bestFit="1" customWidth="1"/>
  </cols>
  <sheetData>
    <row r="2" spans="2:9" x14ac:dyDescent="0.3">
      <c r="B2" s="76" t="s">
        <v>93</v>
      </c>
      <c r="C2" s="77"/>
      <c r="D2" s="77"/>
      <c r="E2" s="77"/>
      <c r="F2" s="77"/>
      <c r="G2" s="78"/>
    </row>
    <row r="3" spans="2:9" x14ac:dyDescent="0.3">
      <c r="B3" s="91" t="s">
        <v>65</v>
      </c>
      <c r="C3" s="92">
        <v>18000</v>
      </c>
      <c r="D3" s="93"/>
      <c r="E3" s="94"/>
      <c r="F3" s="94"/>
      <c r="G3" s="95"/>
      <c r="H3" s="82"/>
    </row>
    <row r="4" spans="2:9" x14ac:dyDescent="0.3">
      <c r="B4" s="46" t="s">
        <v>66</v>
      </c>
      <c r="C4" s="96">
        <v>12</v>
      </c>
      <c r="D4" s="96" t="s">
        <v>67</v>
      </c>
      <c r="E4" s="90"/>
      <c r="F4" s="98" t="s">
        <v>94</v>
      </c>
      <c r="G4" s="99"/>
    </row>
    <row r="5" spans="2:9" x14ac:dyDescent="0.3">
      <c r="B5" s="46" t="s">
        <v>21</v>
      </c>
      <c r="C5" s="97">
        <v>1.4999999999999999E-2</v>
      </c>
      <c r="D5" s="96" t="s">
        <v>24</v>
      </c>
      <c r="E5" s="90"/>
      <c r="F5" s="90"/>
      <c r="G5" s="47"/>
    </row>
    <row r="6" spans="2:9" x14ac:dyDescent="0.3">
      <c r="B6" s="46" t="s">
        <v>69</v>
      </c>
      <c r="C6" s="100">
        <f>SUM(C11:C22)</f>
        <v>10.958376967910471</v>
      </c>
      <c r="D6" s="96"/>
      <c r="E6" s="90"/>
      <c r="F6" s="90"/>
      <c r="G6" s="47"/>
    </row>
    <row r="7" spans="2:9" x14ac:dyDescent="0.3">
      <c r="B7" s="49" t="s">
        <v>22</v>
      </c>
      <c r="C7" s="88">
        <f>C3/C6</f>
        <v>1642.5790108069459</v>
      </c>
      <c r="D7" s="51" t="str">
        <f ca="1">_xlfn.FORMULATEXT(C7)</f>
        <v>=C3/C6</v>
      </c>
      <c r="E7" s="52"/>
      <c r="F7" s="52"/>
      <c r="G7" s="53"/>
    </row>
    <row r="9" spans="2:9" x14ac:dyDescent="0.3">
      <c r="B9" s="54" t="s">
        <v>26</v>
      </c>
      <c r="C9" s="54" t="s">
        <v>70</v>
      </c>
      <c r="D9" s="54" t="s">
        <v>27</v>
      </c>
      <c r="E9" s="54" t="s">
        <v>22</v>
      </c>
      <c r="F9" s="54" t="s">
        <v>28</v>
      </c>
      <c r="G9" s="54" t="s">
        <v>23</v>
      </c>
      <c r="H9" s="89"/>
      <c r="I9" s="86"/>
    </row>
    <row r="10" spans="2:9" x14ac:dyDescent="0.3">
      <c r="B10" s="28">
        <v>0</v>
      </c>
      <c r="C10" s="28"/>
      <c r="D10" s="29">
        <f>C3</f>
        <v>18000</v>
      </c>
      <c r="E10" s="28"/>
      <c r="F10" s="28"/>
      <c r="G10" s="28"/>
    </row>
    <row r="11" spans="2:9" x14ac:dyDescent="0.3">
      <c r="B11" s="28">
        <v>1</v>
      </c>
      <c r="C11" s="28">
        <f>1/(1+$C$5*B11)</f>
        <v>0.98522167487684742</v>
      </c>
      <c r="D11" s="29">
        <f>D10-F11</f>
        <v>16381.695555855225</v>
      </c>
      <c r="E11" s="30">
        <f>$C$7</f>
        <v>1642.5790108069459</v>
      </c>
      <c r="F11" s="30">
        <f>E11*C11</f>
        <v>1618.3044441447746</v>
      </c>
      <c r="G11" s="30">
        <f>E11-F11</f>
        <v>24.27456666217131</v>
      </c>
    </row>
    <row r="12" spans="2:9" x14ac:dyDescent="0.3">
      <c r="B12" s="28">
        <v>2</v>
      </c>
      <c r="C12" s="28">
        <f t="shared" ref="C12:C22" si="0">1/(1+$C$5*B12)</f>
        <v>0.970873786407767</v>
      </c>
      <c r="D12" s="29">
        <f t="shared" ref="D12:D22" si="1">D11-F12</f>
        <v>14786.958652159161</v>
      </c>
      <c r="E12" s="30">
        <f t="shared" ref="E12:E22" si="2">$C$7</f>
        <v>1642.5790108069459</v>
      </c>
      <c r="F12" s="30">
        <f t="shared" ref="F12:F22" si="3">E12*C12</f>
        <v>1594.736903696064</v>
      </c>
      <c r="G12" s="30">
        <f t="shared" ref="G12:G22" si="4">E12-F12</f>
        <v>47.842107110881898</v>
      </c>
    </row>
    <row r="13" spans="2:9" x14ac:dyDescent="0.3">
      <c r="B13" s="28">
        <v>3</v>
      </c>
      <c r="C13" s="28">
        <f t="shared" si="0"/>
        <v>0.95693779904306231</v>
      </c>
      <c r="D13" s="29">
        <f t="shared" si="1"/>
        <v>13215.112708803232</v>
      </c>
      <c r="E13" s="30">
        <f t="shared" si="2"/>
        <v>1642.5790108069459</v>
      </c>
      <c r="F13" s="30">
        <f t="shared" si="3"/>
        <v>1571.8459433559292</v>
      </c>
      <c r="G13" s="30">
        <f t="shared" si="4"/>
        <v>70.733067451016723</v>
      </c>
    </row>
    <row r="14" spans="2:9" x14ac:dyDescent="0.3">
      <c r="B14" s="28">
        <v>4</v>
      </c>
      <c r="C14" s="28">
        <f t="shared" si="0"/>
        <v>0.94339622641509424</v>
      </c>
      <c r="D14" s="29">
        <f t="shared" si="1"/>
        <v>11665.50986841932</v>
      </c>
      <c r="E14" s="30">
        <f t="shared" si="2"/>
        <v>1642.5790108069459</v>
      </c>
      <c r="F14" s="30">
        <f t="shared" si="3"/>
        <v>1549.6028403839111</v>
      </c>
      <c r="G14" s="30">
        <f t="shared" si="4"/>
        <v>92.976170423034773</v>
      </c>
    </row>
    <row r="15" spans="2:9" x14ac:dyDescent="0.3">
      <c r="B15" s="28">
        <v>5</v>
      </c>
      <c r="C15" s="28">
        <f t="shared" si="0"/>
        <v>0.93023255813953487</v>
      </c>
      <c r="D15" s="29">
        <f t="shared" si="1"/>
        <v>10137.529393250068</v>
      </c>
      <c r="E15" s="30">
        <f t="shared" si="2"/>
        <v>1642.5790108069459</v>
      </c>
      <c r="F15" s="30">
        <f t="shared" si="3"/>
        <v>1527.980475169252</v>
      </c>
      <c r="G15" s="30">
        <f t="shared" si="4"/>
        <v>114.59853563769389</v>
      </c>
    </row>
    <row r="16" spans="2:9" x14ac:dyDescent="0.3">
      <c r="B16" s="28">
        <v>6</v>
      </c>
      <c r="C16" s="28">
        <f t="shared" si="0"/>
        <v>0.9174311926605504</v>
      </c>
      <c r="D16" s="29">
        <f t="shared" si="1"/>
        <v>8630.576172326264</v>
      </c>
      <c r="E16" s="30">
        <f t="shared" si="2"/>
        <v>1642.5790108069459</v>
      </c>
      <c r="F16" s="30">
        <f t="shared" si="3"/>
        <v>1506.9532209238034</v>
      </c>
      <c r="G16" s="30">
        <f t="shared" si="4"/>
        <v>135.62578988314249</v>
      </c>
    </row>
    <row r="17" spans="2:7" x14ac:dyDescent="0.3">
      <c r="B17" s="28">
        <v>7</v>
      </c>
      <c r="C17" s="28">
        <f t="shared" si="0"/>
        <v>0.90497737556561086</v>
      </c>
      <c r="D17" s="29">
        <f t="shared" si="1"/>
        <v>7144.0793299670368</v>
      </c>
      <c r="E17" s="30">
        <f t="shared" si="2"/>
        <v>1642.5790108069459</v>
      </c>
      <c r="F17" s="30">
        <f t="shared" si="3"/>
        <v>1486.496842359227</v>
      </c>
      <c r="G17" s="30">
        <f t="shared" si="4"/>
        <v>156.08216844771891</v>
      </c>
    </row>
    <row r="18" spans="2:7" x14ac:dyDescent="0.3">
      <c r="B18" s="28">
        <v>8</v>
      </c>
      <c r="C18" s="28">
        <f t="shared" si="0"/>
        <v>0.89285714285714279</v>
      </c>
      <c r="D18" s="29">
        <f t="shared" si="1"/>
        <v>5677.4909274608353</v>
      </c>
      <c r="E18" s="30">
        <f t="shared" si="2"/>
        <v>1642.5790108069459</v>
      </c>
      <c r="F18" s="30">
        <f t="shared" si="3"/>
        <v>1466.5884025062016</v>
      </c>
      <c r="G18" s="30">
        <f t="shared" si="4"/>
        <v>175.99060830074427</v>
      </c>
    </row>
    <row r="19" spans="2:7" x14ac:dyDescent="0.3">
      <c r="B19" s="28">
        <v>9</v>
      </c>
      <c r="C19" s="28">
        <f t="shared" si="0"/>
        <v>0.88105726872246692</v>
      </c>
      <c r="D19" s="29">
        <f t="shared" si="1"/>
        <v>4230.2847505384161</v>
      </c>
      <c r="E19" s="30">
        <f t="shared" si="2"/>
        <v>1642.5790108069459</v>
      </c>
      <c r="F19" s="30">
        <f t="shared" si="3"/>
        <v>1447.2061769224192</v>
      </c>
      <c r="G19" s="30">
        <f t="shared" si="4"/>
        <v>195.3728338845267</v>
      </c>
    </row>
    <row r="20" spans="2:7" x14ac:dyDescent="0.3">
      <c r="B20" s="28">
        <v>10</v>
      </c>
      <c r="C20" s="28">
        <f t="shared" si="0"/>
        <v>0.86956521739130443</v>
      </c>
      <c r="D20" s="29">
        <f t="shared" si="1"/>
        <v>2801.9551759236801</v>
      </c>
      <c r="E20" s="30">
        <f t="shared" si="2"/>
        <v>1642.5790108069459</v>
      </c>
      <c r="F20" s="30">
        <f t="shared" si="3"/>
        <v>1428.3295746147357</v>
      </c>
      <c r="G20" s="30">
        <f t="shared" si="4"/>
        <v>214.24943619221017</v>
      </c>
    </row>
    <row r="21" spans="2:7" x14ac:dyDescent="0.3">
      <c r="B21" s="28">
        <v>11</v>
      </c>
      <c r="C21" s="28">
        <f t="shared" si="0"/>
        <v>0.85836909871244638</v>
      </c>
      <c r="D21" s="29">
        <f t="shared" si="1"/>
        <v>1392.0161108533403</v>
      </c>
      <c r="E21" s="30">
        <f t="shared" si="2"/>
        <v>1642.5790108069459</v>
      </c>
      <c r="F21" s="30">
        <f t="shared" si="3"/>
        <v>1409.9390650703399</v>
      </c>
      <c r="G21" s="30">
        <f t="shared" si="4"/>
        <v>232.63994573660602</v>
      </c>
    </row>
    <row r="22" spans="2:7" x14ac:dyDescent="0.3">
      <c r="B22" s="28">
        <v>12</v>
      </c>
      <c r="C22" s="28">
        <f t="shared" si="0"/>
        <v>0.84745762711864414</v>
      </c>
      <c r="D22" s="29">
        <f t="shared" si="1"/>
        <v>-3.865352482534945E-12</v>
      </c>
      <c r="E22" s="30">
        <f t="shared" si="2"/>
        <v>1642.5790108069459</v>
      </c>
      <c r="F22" s="30">
        <f t="shared" si="3"/>
        <v>1392.0161108533441</v>
      </c>
      <c r="G22" s="30">
        <f t="shared" si="4"/>
        <v>250.5628999536018</v>
      </c>
    </row>
    <row r="23" spans="2:7" x14ac:dyDescent="0.3">
      <c r="E23" s="57">
        <f>SUM(E11:E22)</f>
        <v>19710.948129683344</v>
      </c>
      <c r="F23" s="57">
        <f>SUM(F11:F22)</f>
        <v>18000.000000000004</v>
      </c>
      <c r="G23" s="57">
        <f>SUM(G11:G22)</f>
        <v>1710.948129683349</v>
      </c>
    </row>
  </sheetData>
  <mergeCells count="2">
    <mergeCell ref="B2:G2"/>
    <mergeCell ref="F4:G4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AA67-C135-4658-BBB8-C5A47F0E0DE4}">
  <dimension ref="B2:F46"/>
  <sheetViews>
    <sheetView topLeftCell="A7" zoomScale="150" zoomScaleNormal="150" workbookViewId="0">
      <selection activeCell="G17" sqref="G17"/>
    </sheetView>
  </sheetViews>
  <sheetFormatPr defaultRowHeight="14.4" x14ac:dyDescent="0.3"/>
  <cols>
    <col min="2" max="4" width="13.6640625" customWidth="1"/>
    <col min="5" max="5" width="15.77734375" bestFit="1" customWidth="1"/>
    <col min="6" max="6" width="13.6640625" customWidth="1"/>
  </cols>
  <sheetData>
    <row r="2" spans="2:6" x14ac:dyDescent="0.3">
      <c r="B2" s="76" t="s">
        <v>64</v>
      </c>
      <c r="C2" s="77"/>
      <c r="D2" s="77"/>
      <c r="E2" s="77"/>
      <c r="F2" s="78"/>
    </row>
    <row r="3" spans="2:6" x14ac:dyDescent="0.3">
      <c r="B3" s="46" t="s">
        <v>65</v>
      </c>
      <c r="C3" s="27">
        <v>50000</v>
      </c>
      <c r="D3" s="21"/>
      <c r="F3" s="47"/>
    </row>
    <row r="4" spans="2:6" x14ac:dyDescent="0.3">
      <c r="B4" s="46" t="s">
        <v>66</v>
      </c>
      <c r="C4" s="21">
        <v>36</v>
      </c>
      <c r="D4" s="21" t="s">
        <v>67</v>
      </c>
      <c r="F4" s="47"/>
    </row>
    <row r="5" spans="2:6" x14ac:dyDescent="0.3">
      <c r="B5" s="46" t="s">
        <v>21</v>
      </c>
      <c r="C5" s="48">
        <v>5.0000000000000001E-3</v>
      </c>
      <c r="D5" s="21" t="s">
        <v>24</v>
      </c>
      <c r="F5" s="47"/>
    </row>
    <row r="6" spans="2:6" x14ac:dyDescent="0.3">
      <c r="B6" s="49" t="s">
        <v>28</v>
      </c>
      <c r="C6" s="50">
        <f>C3/C4</f>
        <v>1388.8888888888889</v>
      </c>
      <c r="D6" s="51"/>
      <c r="E6" s="52" t="str">
        <f ca="1">_xlfn.FORMULATEXT(C6)</f>
        <v>=C3/C4</v>
      </c>
      <c r="F6" s="53"/>
    </row>
    <row r="8" spans="2:6" x14ac:dyDescent="0.3">
      <c r="B8" s="54" t="s">
        <v>26</v>
      </c>
      <c r="C8" s="54" t="s">
        <v>27</v>
      </c>
      <c r="D8" s="54" t="s">
        <v>22</v>
      </c>
      <c r="E8" s="54" t="s">
        <v>28</v>
      </c>
      <c r="F8" s="54" t="s">
        <v>23</v>
      </c>
    </row>
    <row r="9" spans="2:6" x14ac:dyDescent="0.3">
      <c r="B9" s="28">
        <v>0</v>
      </c>
      <c r="C9" s="29">
        <f>C3</f>
        <v>50000</v>
      </c>
      <c r="D9" s="28"/>
      <c r="E9" s="28"/>
      <c r="F9" s="28"/>
    </row>
    <row r="10" spans="2:6" x14ac:dyDescent="0.3">
      <c r="B10" s="28">
        <v>1</v>
      </c>
      <c r="C10" s="29">
        <f>C9-E10</f>
        <v>48611.111111111109</v>
      </c>
      <c r="D10" s="30">
        <f>E10+F10</f>
        <v>1638.8888888888889</v>
      </c>
      <c r="E10" s="30">
        <f>C$6</f>
        <v>1388.8888888888889</v>
      </c>
      <c r="F10" s="30">
        <f>$C$5*C9</f>
        <v>250</v>
      </c>
    </row>
    <row r="11" spans="2:6" x14ac:dyDescent="0.3">
      <c r="B11" s="28">
        <v>2</v>
      </c>
      <c r="C11" s="29">
        <f t="shared" ref="C11:C45" si="0">C10-E11</f>
        <v>47222.222222222219</v>
      </c>
      <c r="D11" s="30">
        <f t="shared" ref="D11:D45" si="1">E11+F11</f>
        <v>1631.9444444444443</v>
      </c>
      <c r="E11" s="30">
        <f t="shared" ref="E11:E45" si="2">C$6</f>
        <v>1388.8888888888889</v>
      </c>
      <c r="F11" s="30">
        <f t="shared" ref="F11:F45" si="3">$C$5*C10</f>
        <v>243.05555555555554</v>
      </c>
    </row>
    <row r="12" spans="2:6" x14ac:dyDescent="0.3">
      <c r="B12" s="28">
        <v>3</v>
      </c>
      <c r="C12" s="29">
        <f t="shared" si="0"/>
        <v>45833.333333333328</v>
      </c>
      <c r="D12" s="30">
        <f t="shared" si="1"/>
        <v>1625</v>
      </c>
      <c r="E12" s="30">
        <f t="shared" si="2"/>
        <v>1388.8888888888889</v>
      </c>
      <c r="F12" s="30">
        <f t="shared" si="3"/>
        <v>236.11111111111109</v>
      </c>
    </row>
    <row r="13" spans="2:6" x14ac:dyDescent="0.3">
      <c r="B13" s="28">
        <v>4</v>
      </c>
      <c r="C13" s="29">
        <f t="shared" si="0"/>
        <v>44444.444444444438</v>
      </c>
      <c r="D13" s="30">
        <f t="shared" si="1"/>
        <v>1618.0555555555557</v>
      </c>
      <c r="E13" s="30">
        <f t="shared" si="2"/>
        <v>1388.8888888888889</v>
      </c>
      <c r="F13" s="30">
        <f t="shared" si="3"/>
        <v>229.16666666666666</v>
      </c>
    </row>
    <row r="14" spans="2:6" x14ac:dyDescent="0.3">
      <c r="B14" s="28">
        <v>5</v>
      </c>
      <c r="C14" s="29">
        <f t="shared" si="0"/>
        <v>43055.555555555547</v>
      </c>
      <c r="D14" s="30">
        <f t="shared" si="1"/>
        <v>1611.1111111111111</v>
      </c>
      <c r="E14" s="30">
        <f t="shared" si="2"/>
        <v>1388.8888888888889</v>
      </c>
      <c r="F14" s="30">
        <f t="shared" si="3"/>
        <v>222.2222222222222</v>
      </c>
    </row>
    <row r="15" spans="2:6" x14ac:dyDescent="0.3">
      <c r="B15" s="28">
        <v>6</v>
      </c>
      <c r="C15" s="29">
        <f t="shared" si="0"/>
        <v>41666.666666666657</v>
      </c>
      <c r="D15" s="30">
        <f t="shared" si="1"/>
        <v>1604.1666666666667</v>
      </c>
      <c r="E15" s="30">
        <f t="shared" si="2"/>
        <v>1388.8888888888889</v>
      </c>
      <c r="F15" s="30">
        <f t="shared" si="3"/>
        <v>215.27777777777774</v>
      </c>
    </row>
    <row r="16" spans="2:6" x14ac:dyDescent="0.3">
      <c r="B16" s="28">
        <v>7</v>
      </c>
      <c r="C16" s="29">
        <f t="shared" si="0"/>
        <v>40277.777777777766</v>
      </c>
      <c r="D16" s="30">
        <f t="shared" si="1"/>
        <v>1597.2222222222222</v>
      </c>
      <c r="E16" s="30">
        <f t="shared" si="2"/>
        <v>1388.8888888888889</v>
      </c>
      <c r="F16" s="30">
        <f t="shared" si="3"/>
        <v>208.33333333333329</v>
      </c>
    </row>
    <row r="17" spans="2:6" x14ac:dyDescent="0.3">
      <c r="B17" s="28">
        <v>8</v>
      </c>
      <c r="C17" s="29">
        <f t="shared" si="0"/>
        <v>38888.888888888876</v>
      </c>
      <c r="D17" s="30">
        <f t="shared" si="1"/>
        <v>1590.2777777777778</v>
      </c>
      <c r="E17" s="30">
        <f t="shared" si="2"/>
        <v>1388.8888888888889</v>
      </c>
      <c r="F17" s="30">
        <f t="shared" si="3"/>
        <v>201.38888888888883</v>
      </c>
    </row>
    <row r="18" spans="2:6" x14ac:dyDescent="0.3">
      <c r="B18" s="28">
        <v>9</v>
      </c>
      <c r="C18" s="29">
        <f t="shared" si="0"/>
        <v>37499.999999999985</v>
      </c>
      <c r="D18" s="30">
        <f t="shared" si="1"/>
        <v>1583.3333333333333</v>
      </c>
      <c r="E18" s="30">
        <f t="shared" si="2"/>
        <v>1388.8888888888889</v>
      </c>
      <c r="F18" s="30">
        <f t="shared" si="3"/>
        <v>194.44444444444437</v>
      </c>
    </row>
    <row r="19" spans="2:6" x14ac:dyDescent="0.3">
      <c r="B19" s="28">
        <v>10</v>
      </c>
      <c r="C19" s="29">
        <f t="shared" si="0"/>
        <v>36111.111111111095</v>
      </c>
      <c r="D19" s="30">
        <f t="shared" si="1"/>
        <v>1576.3888888888889</v>
      </c>
      <c r="E19" s="30">
        <f t="shared" si="2"/>
        <v>1388.8888888888889</v>
      </c>
      <c r="F19" s="30">
        <f t="shared" si="3"/>
        <v>187.49999999999994</v>
      </c>
    </row>
    <row r="20" spans="2:6" x14ac:dyDescent="0.3">
      <c r="B20" s="28">
        <v>11</v>
      </c>
      <c r="C20" s="29">
        <f t="shared" si="0"/>
        <v>34722.222222222204</v>
      </c>
      <c r="D20" s="30">
        <f t="shared" si="1"/>
        <v>1569.4444444444443</v>
      </c>
      <c r="E20" s="30">
        <f t="shared" si="2"/>
        <v>1388.8888888888889</v>
      </c>
      <c r="F20" s="30">
        <f t="shared" si="3"/>
        <v>180.55555555555549</v>
      </c>
    </row>
    <row r="21" spans="2:6" x14ac:dyDescent="0.3">
      <c r="B21" s="28">
        <v>12</v>
      </c>
      <c r="C21" s="29">
        <f t="shared" si="0"/>
        <v>33333.333333333314</v>
      </c>
      <c r="D21" s="30">
        <f t="shared" si="1"/>
        <v>1562.5</v>
      </c>
      <c r="E21" s="30">
        <f t="shared" si="2"/>
        <v>1388.8888888888889</v>
      </c>
      <c r="F21" s="30">
        <f t="shared" si="3"/>
        <v>173.61111111111103</v>
      </c>
    </row>
    <row r="22" spans="2:6" x14ac:dyDescent="0.3">
      <c r="B22" s="28">
        <v>13</v>
      </c>
      <c r="C22" s="29">
        <f t="shared" si="0"/>
        <v>31944.444444444423</v>
      </c>
      <c r="D22" s="30">
        <f t="shared" si="1"/>
        <v>1555.5555555555554</v>
      </c>
      <c r="E22" s="30">
        <f t="shared" si="2"/>
        <v>1388.8888888888889</v>
      </c>
      <c r="F22" s="30">
        <f t="shared" si="3"/>
        <v>166.66666666666657</v>
      </c>
    </row>
    <row r="23" spans="2:6" x14ac:dyDescent="0.3">
      <c r="B23" s="28">
        <v>14</v>
      </c>
      <c r="C23" s="29">
        <f t="shared" si="0"/>
        <v>30555.555555555533</v>
      </c>
      <c r="D23" s="30">
        <f t="shared" si="1"/>
        <v>1548.6111111111111</v>
      </c>
      <c r="E23" s="30">
        <f t="shared" si="2"/>
        <v>1388.8888888888889</v>
      </c>
      <c r="F23" s="30">
        <f t="shared" si="3"/>
        <v>159.72222222222211</v>
      </c>
    </row>
    <row r="24" spans="2:6" x14ac:dyDescent="0.3">
      <c r="B24" s="28">
        <v>15</v>
      </c>
      <c r="C24" s="29">
        <f t="shared" si="0"/>
        <v>29166.666666666642</v>
      </c>
      <c r="D24" s="30">
        <f t="shared" si="1"/>
        <v>1541.6666666666665</v>
      </c>
      <c r="E24" s="30">
        <f t="shared" si="2"/>
        <v>1388.8888888888889</v>
      </c>
      <c r="F24" s="30">
        <f t="shared" si="3"/>
        <v>152.77777777777766</v>
      </c>
    </row>
    <row r="25" spans="2:6" x14ac:dyDescent="0.3">
      <c r="B25" s="28">
        <v>16</v>
      </c>
      <c r="C25" s="29">
        <f t="shared" si="0"/>
        <v>27777.777777777752</v>
      </c>
      <c r="D25" s="30">
        <f t="shared" si="1"/>
        <v>1534.7222222222222</v>
      </c>
      <c r="E25" s="30">
        <f t="shared" si="2"/>
        <v>1388.8888888888889</v>
      </c>
      <c r="F25" s="30">
        <f t="shared" si="3"/>
        <v>145.83333333333323</v>
      </c>
    </row>
    <row r="26" spans="2:6" x14ac:dyDescent="0.3">
      <c r="B26" s="28">
        <v>17</v>
      </c>
      <c r="C26" s="29">
        <f t="shared" si="0"/>
        <v>26388.888888888861</v>
      </c>
      <c r="D26" s="30">
        <f t="shared" si="1"/>
        <v>1527.7777777777776</v>
      </c>
      <c r="E26" s="30">
        <f t="shared" si="2"/>
        <v>1388.8888888888889</v>
      </c>
      <c r="F26" s="30">
        <f t="shared" si="3"/>
        <v>138.88888888888877</v>
      </c>
    </row>
    <row r="27" spans="2:6" x14ac:dyDescent="0.3">
      <c r="B27" s="28">
        <v>18</v>
      </c>
      <c r="C27" s="29">
        <f t="shared" si="0"/>
        <v>24999.999999999971</v>
      </c>
      <c r="D27" s="30">
        <f t="shared" si="1"/>
        <v>1520.8333333333333</v>
      </c>
      <c r="E27" s="30">
        <f t="shared" si="2"/>
        <v>1388.8888888888889</v>
      </c>
      <c r="F27" s="30">
        <f t="shared" si="3"/>
        <v>131.94444444444431</v>
      </c>
    </row>
    <row r="28" spans="2:6" x14ac:dyDescent="0.3">
      <c r="B28" s="28">
        <v>19</v>
      </c>
      <c r="C28" s="29">
        <f t="shared" si="0"/>
        <v>23611.11111111108</v>
      </c>
      <c r="D28" s="30">
        <f t="shared" si="1"/>
        <v>1513.8888888888887</v>
      </c>
      <c r="E28" s="30">
        <f t="shared" si="2"/>
        <v>1388.8888888888889</v>
      </c>
      <c r="F28" s="30">
        <f t="shared" si="3"/>
        <v>124.99999999999986</v>
      </c>
    </row>
    <row r="29" spans="2:6" x14ac:dyDescent="0.3">
      <c r="B29" s="28">
        <v>20</v>
      </c>
      <c r="C29" s="29">
        <f t="shared" si="0"/>
        <v>22222.22222222219</v>
      </c>
      <c r="D29" s="30">
        <f t="shared" si="1"/>
        <v>1506.9444444444443</v>
      </c>
      <c r="E29" s="30">
        <f t="shared" si="2"/>
        <v>1388.8888888888889</v>
      </c>
      <c r="F29" s="30">
        <f t="shared" si="3"/>
        <v>118.0555555555554</v>
      </c>
    </row>
    <row r="30" spans="2:6" x14ac:dyDescent="0.3">
      <c r="B30" s="28">
        <v>21</v>
      </c>
      <c r="C30" s="29">
        <f t="shared" si="0"/>
        <v>20833.333333333299</v>
      </c>
      <c r="D30" s="30">
        <f t="shared" si="1"/>
        <v>1499.9999999999998</v>
      </c>
      <c r="E30" s="30">
        <f t="shared" si="2"/>
        <v>1388.8888888888889</v>
      </c>
      <c r="F30" s="30">
        <f t="shared" si="3"/>
        <v>111.11111111111096</v>
      </c>
    </row>
    <row r="31" spans="2:6" x14ac:dyDescent="0.3">
      <c r="B31" s="28">
        <v>22</v>
      </c>
      <c r="C31" s="29">
        <f t="shared" si="0"/>
        <v>19444.444444444409</v>
      </c>
      <c r="D31" s="30">
        <f t="shared" si="1"/>
        <v>1493.0555555555554</v>
      </c>
      <c r="E31" s="30">
        <f t="shared" si="2"/>
        <v>1388.8888888888889</v>
      </c>
      <c r="F31" s="30">
        <f t="shared" si="3"/>
        <v>104.1666666666665</v>
      </c>
    </row>
    <row r="32" spans="2:6" x14ac:dyDescent="0.3">
      <c r="B32" s="28">
        <v>23</v>
      </c>
      <c r="C32" s="29">
        <f t="shared" si="0"/>
        <v>18055.555555555518</v>
      </c>
      <c r="D32" s="30">
        <f t="shared" si="1"/>
        <v>1486.1111111111109</v>
      </c>
      <c r="E32" s="30">
        <f t="shared" si="2"/>
        <v>1388.8888888888889</v>
      </c>
      <c r="F32" s="30">
        <f t="shared" si="3"/>
        <v>97.222222222222044</v>
      </c>
    </row>
    <row r="33" spans="2:6" x14ac:dyDescent="0.3">
      <c r="B33" s="28">
        <v>24</v>
      </c>
      <c r="C33" s="29">
        <f t="shared" si="0"/>
        <v>16666.666666666628</v>
      </c>
      <c r="D33" s="30">
        <f t="shared" si="1"/>
        <v>1479.1666666666665</v>
      </c>
      <c r="E33" s="30">
        <f t="shared" si="2"/>
        <v>1388.8888888888889</v>
      </c>
      <c r="F33" s="30">
        <f t="shared" si="3"/>
        <v>90.277777777777587</v>
      </c>
    </row>
    <row r="34" spans="2:6" x14ac:dyDescent="0.3">
      <c r="B34" s="28">
        <v>25</v>
      </c>
      <c r="C34" s="29">
        <f t="shared" si="0"/>
        <v>15277.777777777739</v>
      </c>
      <c r="D34" s="30">
        <f t="shared" si="1"/>
        <v>1472.2222222222222</v>
      </c>
      <c r="E34" s="30">
        <f t="shared" si="2"/>
        <v>1388.8888888888889</v>
      </c>
      <c r="F34" s="30">
        <f t="shared" si="3"/>
        <v>83.333333333333144</v>
      </c>
    </row>
    <row r="35" spans="2:6" x14ac:dyDescent="0.3">
      <c r="B35" s="28">
        <v>26</v>
      </c>
      <c r="C35" s="29">
        <f t="shared" si="0"/>
        <v>13888.88888888885</v>
      </c>
      <c r="D35" s="30">
        <f t="shared" si="1"/>
        <v>1465.2777777777776</v>
      </c>
      <c r="E35" s="30">
        <f t="shared" si="2"/>
        <v>1388.8888888888889</v>
      </c>
      <c r="F35" s="30">
        <f t="shared" si="3"/>
        <v>76.388888888888701</v>
      </c>
    </row>
    <row r="36" spans="2:6" x14ac:dyDescent="0.3">
      <c r="B36" s="28">
        <v>27</v>
      </c>
      <c r="C36" s="29">
        <f t="shared" si="0"/>
        <v>12499.999999999962</v>
      </c>
      <c r="D36" s="30">
        <f t="shared" si="1"/>
        <v>1458.3333333333333</v>
      </c>
      <c r="E36" s="30">
        <f t="shared" si="2"/>
        <v>1388.8888888888889</v>
      </c>
      <c r="F36" s="30">
        <f t="shared" si="3"/>
        <v>69.444444444444258</v>
      </c>
    </row>
    <row r="37" spans="2:6" x14ac:dyDescent="0.3">
      <c r="B37" s="28">
        <v>28</v>
      </c>
      <c r="C37" s="29">
        <f t="shared" si="0"/>
        <v>11111.111111111073</v>
      </c>
      <c r="D37" s="30">
        <f t="shared" si="1"/>
        <v>1451.3888888888887</v>
      </c>
      <c r="E37" s="30">
        <f t="shared" si="2"/>
        <v>1388.8888888888889</v>
      </c>
      <c r="F37" s="30">
        <f t="shared" si="3"/>
        <v>62.499999999999808</v>
      </c>
    </row>
    <row r="38" spans="2:6" x14ac:dyDescent="0.3">
      <c r="B38" s="28">
        <v>29</v>
      </c>
      <c r="C38" s="29">
        <f t="shared" si="0"/>
        <v>9722.2222222221844</v>
      </c>
      <c r="D38" s="30">
        <f t="shared" si="1"/>
        <v>1444.4444444444443</v>
      </c>
      <c r="E38" s="30">
        <f t="shared" si="2"/>
        <v>1388.8888888888889</v>
      </c>
      <c r="F38" s="30">
        <f t="shared" si="3"/>
        <v>55.555555555555365</v>
      </c>
    </row>
    <row r="39" spans="2:6" x14ac:dyDescent="0.3">
      <c r="B39" s="28">
        <v>30</v>
      </c>
      <c r="C39" s="29">
        <f t="shared" si="0"/>
        <v>8333.3333333332957</v>
      </c>
      <c r="D39" s="30">
        <f t="shared" si="1"/>
        <v>1437.4999999999998</v>
      </c>
      <c r="E39" s="30">
        <f t="shared" si="2"/>
        <v>1388.8888888888889</v>
      </c>
      <c r="F39" s="30">
        <f t="shared" si="3"/>
        <v>48.611111111110922</v>
      </c>
    </row>
    <row r="40" spans="2:6" x14ac:dyDescent="0.3">
      <c r="B40" s="28">
        <v>31</v>
      </c>
      <c r="C40" s="29">
        <f t="shared" si="0"/>
        <v>6944.4444444444071</v>
      </c>
      <c r="D40" s="30">
        <f t="shared" si="1"/>
        <v>1430.5555555555554</v>
      </c>
      <c r="E40" s="30">
        <f t="shared" si="2"/>
        <v>1388.8888888888889</v>
      </c>
      <c r="F40" s="30">
        <f t="shared" si="3"/>
        <v>41.66666666666648</v>
      </c>
    </row>
    <row r="41" spans="2:6" x14ac:dyDescent="0.3">
      <c r="B41" s="28">
        <v>32</v>
      </c>
      <c r="C41" s="29">
        <f t="shared" si="0"/>
        <v>5555.5555555555184</v>
      </c>
      <c r="D41" s="30">
        <f t="shared" si="1"/>
        <v>1423.6111111111109</v>
      </c>
      <c r="E41" s="30">
        <f t="shared" si="2"/>
        <v>1388.8888888888889</v>
      </c>
      <c r="F41" s="30">
        <f t="shared" si="3"/>
        <v>34.722222222222037</v>
      </c>
    </row>
    <row r="42" spans="2:6" x14ac:dyDescent="0.3">
      <c r="B42" s="28">
        <v>33</v>
      </c>
      <c r="C42" s="29">
        <f t="shared" si="0"/>
        <v>4166.6666666666297</v>
      </c>
      <c r="D42" s="30">
        <f t="shared" si="1"/>
        <v>1416.6666666666665</v>
      </c>
      <c r="E42" s="30">
        <f t="shared" si="2"/>
        <v>1388.8888888888889</v>
      </c>
      <c r="F42" s="30">
        <f t="shared" si="3"/>
        <v>27.777777777777594</v>
      </c>
    </row>
    <row r="43" spans="2:6" x14ac:dyDescent="0.3">
      <c r="B43" s="28">
        <v>34</v>
      </c>
      <c r="C43" s="29">
        <f t="shared" si="0"/>
        <v>2777.777777777741</v>
      </c>
      <c r="D43" s="30">
        <f t="shared" si="1"/>
        <v>1409.7222222222222</v>
      </c>
      <c r="E43" s="30">
        <f t="shared" si="2"/>
        <v>1388.8888888888889</v>
      </c>
      <c r="F43" s="30">
        <f t="shared" si="3"/>
        <v>20.833333333333147</v>
      </c>
    </row>
    <row r="44" spans="2:6" x14ac:dyDescent="0.3">
      <c r="B44" s="28">
        <v>35</v>
      </c>
      <c r="C44" s="29">
        <f t="shared" si="0"/>
        <v>1388.8888888888521</v>
      </c>
      <c r="D44" s="30">
        <f t="shared" si="1"/>
        <v>1402.7777777777776</v>
      </c>
      <c r="E44" s="30">
        <f t="shared" si="2"/>
        <v>1388.8888888888889</v>
      </c>
      <c r="F44" s="30">
        <f t="shared" si="3"/>
        <v>13.888888888888705</v>
      </c>
    </row>
    <row r="45" spans="2:6" x14ac:dyDescent="0.3">
      <c r="B45" s="28">
        <v>36</v>
      </c>
      <c r="C45" s="55">
        <f t="shared" si="0"/>
        <v>-3.6834535421803594E-11</v>
      </c>
      <c r="D45" s="30">
        <f t="shared" si="1"/>
        <v>1395.8333333333333</v>
      </c>
      <c r="E45" s="30">
        <f t="shared" si="2"/>
        <v>1388.8888888888889</v>
      </c>
      <c r="F45" s="30">
        <f t="shared" si="3"/>
        <v>6.9444444444442608</v>
      </c>
    </row>
    <row r="46" spans="2:6" x14ac:dyDescent="0.3">
      <c r="D46" s="57">
        <f>SUM(D10:D45)</f>
        <v>54624.999999999993</v>
      </c>
      <c r="E46" s="57">
        <f>SUM(E10:E45)</f>
        <v>50000.000000000036</v>
      </c>
      <c r="F46" s="57">
        <f>SUM(F10:F45)</f>
        <v>4624.9999999999955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5732-BCAA-42D0-853C-5DBBBB3C43F2}">
  <dimension ref="B2:F46"/>
  <sheetViews>
    <sheetView zoomScale="150" zoomScaleNormal="150" workbookViewId="0">
      <selection activeCell="C5" sqref="C5"/>
    </sheetView>
  </sheetViews>
  <sheetFormatPr defaultRowHeight="14.4" x14ac:dyDescent="0.3"/>
  <cols>
    <col min="2" max="6" width="13.6640625" customWidth="1"/>
  </cols>
  <sheetData>
    <row r="2" spans="2:6" x14ac:dyDescent="0.3">
      <c r="B2" s="76" t="s">
        <v>63</v>
      </c>
      <c r="C2" s="77"/>
      <c r="D2" s="77"/>
      <c r="E2" s="77"/>
      <c r="F2" s="78"/>
    </row>
    <row r="3" spans="2:6" x14ac:dyDescent="0.3">
      <c r="B3" s="46" t="s">
        <v>65</v>
      </c>
      <c r="C3" s="27">
        <v>50000</v>
      </c>
      <c r="D3" s="21"/>
      <c r="F3" s="47"/>
    </row>
    <row r="4" spans="2:6" x14ac:dyDescent="0.3">
      <c r="B4" s="46" t="s">
        <v>66</v>
      </c>
      <c r="C4" s="21">
        <v>36</v>
      </c>
      <c r="D4" s="21" t="s">
        <v>67</v>
      </c>
      <c r="F4" s="47"/>
    </row>
    <row r="5" spans="2:6" x14ac:dyDescent="0.3">
      <c r="B5" s="46" t="s">
        <v>21</v>
      </c>
      <c r="C5" s="48">
        <v>5.0000000000000001E-3</v>
      </c>
      <c r="D5" s="21" t="s">
        <v>24</v>
      </c>
      <c r="F5" s="47"/>
    </row>
    <row r="6" spans="2:6" x14ac:dyDescent="0.3">
      <c r="B6" s="49" t="s">
        <v>22</v>
      </c>
      <c r="C6" s="50">
        <f>-PMT(C5,C4,C3)</f>
        <v>1521.0968725777554</v>
      </c>
      <c r="D6" s="51"/>
      <c r="E6" s="52" t="str">
        <f ca="1">_xlfn.FORMULATEXT(C6)</f>
        <v>=-PGTO(C5;C4;C3)</v>
      </c>
      <c r="F6" s="53"/>
    </row>
    <row r="8" spans="2:6" x14ac:dyDescent="0.3">
      <c r="B8" s="54" t="s">
        <v>26</v>
      </c>
      <c r="C8" s="54" t="s">
        <v>27</v>
      </c>
      <c r="D8" s="54" t="s">
        <v>22</v>
      </c>
      <c r="E8" s="54" t="s">
        <v>28</v>
      </c>
      <c r="F8" s="54" t="s">
        <v>23</v>
      </c>
    </row>
    <row r="9" spans="2:6" x14ac:dyDescent="0.3">
      <c r="B9" s="28">
        <v>0</v>
      </c>
      <c r="C9" s="29">
        <f>C3</f>
        <v>50000</v>
      </c>
      <c r="D9" s="28"/>
      <c r="E9" s="28"/>
      <c r="F9" s="28"/>
    </row>
    <row r="10" spans="2:6" x14ac:dyDescent="0.3">
      <c r="B10" s="28">
        <v>1</v>
      </c>
      <c r="C10" s="29">
        <f>C9-E10</f>
        <v>48728.903127422243</v>
      </c>
      <c r="D10" s="30">
        <f>$C$6</f>
        <v>1521.0968725777554</v>
      </c>
      <c r="E10" s="30">
        <f>D10-F10</f>
        <v>1271.0968725777554</v>
      </c>
      <c r="F10" s="30">
        <f>$C$5*C9</f>
        <v>250</v>
      </c>
    </row>
    <row r="11" spans="2:6" x14ac:dyDescent="0.3">
      <c r="B11" s="28">
        <v>2</v>
      </c>
      <c r="C11" s="29">
        <f t="shared" ref="C11:C45" si="0">C10-E11</f>
        <v>47451.450770481599</v>
      </c>
      <c r="D11" s="30">
        <f t="shared" ref="D11:D45" si="1">$C$6</f>
        <v>1521.0968725777554</v>
      </c>
      <c r="E11" s="30">
        <f t="shared" ref="E11:E45" si="2">D11-F11</f>
        <v>1277.4523569406442</v>
      </c>
      <c r="F11" s="30">
        <f t="shared" ref="F11:F45" si="3">$C$5*C10</f>
        <v>243.64451563711123</v>
      </c>
    </row>
    <row r="12" spans="2:6" x14ac:dyDescent="0.3">
      <c r="B12" s="28">
        <v>3</v>
      </c>
      <c r="C12" s="29">
        <f t="shared" si="0"/>
        <v>46167.611151756253</v>
      </c>
      <c r="D12" s="30">
        <f t="shared" si="1"/>
        <v>1521.0968725777554</v>
      </c>
      <c r="E12" s="30">
        <f t="shared" si="2"/>
        <v>1283.8396187253475</v>
      </c>
      <c r="F12" s="30">
        <f t="shared" si="3"/>
        <v>237.25725385240798</v>
      </c>
    </row>
    <row r="13" spans="2:6" x14ac:dyDescent="0.3">
      <c r="B13" s="28">
        <v>4</v>
      </c>
      <c r="C13" s="29">
        <f t="shared" si="0"/>
        <v>44877.352334937277</v>
      </c>
      <c r="D13" s="30">
        <f t="shared" si="1"/>
        <v>1521.0968725777554</v>
      </c>
      <c r="E13" s="30">
        <f t="shared" si="2"/>
        <v>1290.2588168189741</v>
      </c>
      <c r="F13" s="30">
        <f t="shared" si="3"/>
        <v>230.83805575878128</v>
      </c>
    </row>
    <row r="14" spans="2:6" x14ac:dyDescent="0.3">
      <c r="B14" s="28">
        <v>5</v>
      </c>
      <c r="C14" s="29">
        <f t="shared" si="0"/>
        <v>43580.642224034207</v>
      </c>
      <c r="D14" s="30">
        <f t="shared" si="1"/>
        <v>1521.0968725777554</v>
      </c>
      <c r="E14" s="30">
        <f t="shared" si="2"/>
        <v>1296.7101109030691</v>
      </c>
      <c r="F14" s="30">
        <f t="shared" si="3"/>
        <v>224.3867616746864</v>
      </c>
    </row>
    <row r="15" spans="2:6" x14ac:dyDescent="0.3">
      <c r="B15" s="28">
        <v>6</v>
      </c>
      <c r="C15" s="29">
        <f t="shared" si="0"/>
        <v>42277.448562576625</v>
      </c>
      <c r="D15" s="30">
        <f t="shared" si="1"/>
        <v>1521.0968725777554</v>
      </c>
      <c r="E15" s="30">
        <f t="shared" si="2"/>
        <v>1303.1936614575843</v>
      </c>
      <c r="F15" s="30">
        <f t="shared" si="3"/>
        <v>217.90321112017105</v>
      </c>
    </row>
    <row r="16" spans="2:6" x14ac:dyDescent="0.3">
      <c r="B16" s="28">
        <v>7</v>
      </c>
      <c r="C16" s="29">
        <f t="shared" si="0"/>
        <v>40967.73893281175</v>
      </c>
      <c r="D16" s="30">
        <f t="shared" si="1"/>
        <v>1521.0968725777554</v>
      </c>
      <c r="E16" s="30">
        <f t="shared" si="2"/>
        <v>1309.7096297648723</v>
      </c>
      <c r="F16" s="30">
        <f t="shared" si="3"/>
        <v>211.38724281288313</v>
      </c>
    </row>
    <row r="17" spans="2:6" x14ac:dyDescent="0.3">
      <c r="B17" s="28">
        <v>8</v>
      </c>
      <c r="C17" s="29">
        <f t="shared" si="0"/>
        <v>39651.480754898053</v>
      </c>
      <c r="D17" s="30">
        <f t="shared" si="1"/>
        <v>1521.0968725777554</v>
      </c>
      <c r="E17" s="30">
        <f t="shared" si="2"/>
        <v>1316.2581779136967</v>
      </c>
      <c r="F17" s="30">
        <f t="shared" si="3"/>
        <v>204.83869466405875</v>
      </c>
    </row>
    <row r="18" spans="2:6" x14ac:dyDescent="0.3">
      <c r="B18" s="28">
        <v>9</v>
      </c>
      <c r="C18" s="29">
        <f t="shared" si="0"/>
        <v>38328.641286094789</v>
      </c>
      <c r="D18" s="30">
        <f t="shared" si="1"/>
        <v>1521.0968725777554</v>
      </c>
      <c r="E18" s="30">
        <f t="shared" si="2"/>
        <v>1322.8394688032652</v>
      </c>
      <c r="F18" s="30">
        <f t="shared" si="3"/>
        <v>198.25740377449029</v>
      </c>
    </row>
    <row r="19" spans="2:6" x14ac:dyDescent="0.3">
      <c r="B19" s="28">
        <v>10</v>
      </c>
      <c r="C19" s="29">
        <f t="shared" si="0"/>
        <v>36999.187619947508</v>
      </c>
      <c r="D19" s="30">
        <f t="shared" si="1"/>
        <v>1521.0968725777554</v>
      </c>
      <c r="E19" s="30">
        <f t="shared" si="2"/>
        <v>1329.4536661472814</v>
      </c>
      <c r="F19" s="30">
        <f t="shared" si="3"/>
        <v>191.64320643047395</v>
      </c>
    </row>
    <row r="20" spans="2:6" x14ac:dyDescent="0.3">
      <c r="B20" s="28">
        <v>11</v>
      </c>
      <c r="C20" s="29">
        <f t="shared" si="0"/>
        <v>35663.08668546949</v>
      </c>
      <c r="D20" s="30">
        <f t="shared" si="1"/>
        <v>1521.0968725777554</v>
      </c>
      <c r="E20" s="30">
        <f t="shared" si="2"/>
        <v>1336.100934478018</v>
      </c>
      <c r="F20" s="30">
        <f t="shared" si="3"/>
        <v>184.99593809973754</v>
      </c>
    </row>
    <row r="21" spans="2:6" x14ac:dyDescent="0.3">
      <c r="B21" s="28">
        <v>12</v>
      </c>
      <c r="C21" s="29">
        <f t="shared" si="0"/>
        <v>34320.305246319083</v>
      </c>
      <c r="D21" s="30">
        <f t="shared" si="1"/>
        <v>1521.0968725777554</v>
      </c>
      <c r="E21" s="30">
        <f t="shared" si="2"/>
        <v>1342.781439150408</v>
      </c>
      <c r="F21" s="30">
        <f t="shared" si="3"/>
        <v>178.31543342734744</v>
      </c>
    </row>
    <row r="22" spans="2:6" x14ac:dyDescent="0.3">
      <c r="B22" s="28">
        <v>13</v>
      </c>
      <c r="C22" s="29">
        <f t="shared" si="0"/>
        <v>32970.809899972926</v>
      </c>
      <c r="D22" s="30">
        <f t="shared" si="1"/>
        <v>1521.0968725777554</v>
      </c>
      <c r="E22" s="30">
        <f t="shared" si="2"/>
        <v>1349.49534634616</v>
      </c>
      <c r="F22" s="30">
        <f t="shared" si="3"/>
        <v>171.60152623159541</v>
      </c>
    </row>
    <row r="23" spans="2:6" x14ac:dyDescent="0.3">
      <c r="B23" s="28">
        <v>14</v>
      </c>
      <c r="C23" s="29">
        <f t="shared" si="0"/>
        <v>31614.567076895037</v>
      </c>
      <c r="D23" s="30">
        <f t="shared" si="1"/>
        <v>1521.0968725777554</v>
      </c>
      <c r="E23" s="30">
        <f t="shared" si="2"/>
        <v>1356.2428230778908</v>
      </c>
      <c r="F23" s="30">
        <f t="shared" si="3"/>
        <v>164.85404949986463</v>
      </c>
    </row>
    <row r="24" spans="2:6" x14ac:dyDescent="0.3">
      <c r="B24" s="28">
        <v>15</v>
      </c>
      <c r="C24" s="29">
        <f t="shared" si="0"/>
        <v>30251.543039701755</v>
      </c>
      <c r="D24" s="30">
        <f t="shared" si="1"/>
        <v>1521.0968725777554</v>
      </c>
      <c r="E24" s="30">
        <f t="shared" si="2"/>
        <v>1363.0240371932803</v>
      </c>
      <c r="F24" s="30">
        <f t="shared" si="3"/>
        <v>158.07283538447518</v>
      </c>
    </row>
    <row r="25" spans="2:6" x14ac:dyDescent="0.3">
      <c r="B25" s="28">
        <v>16</v>
      </c>
      <c r="C25" s="29">
        <f t="shared" si="0"/>
        <v>28881.703882322508</v>
      </c>
      <c r="D25" s="30">
        <f t="shared" si="1"/>
        <v>1521.0968725777554</v>
      </c>
      <c r="E25" s="30">
        <f t="shared" si="2"/>
        <v>1369.8391573792467</v>
      </c>
      <c r="F25" s="30">
        <f t="shared" si="3"/>
        <v>151.25771519850878</v>
      </c>
    </row>
    <row r="26" spans="2:6" x14ac:dyDescent="0.3">
      <c r="B26" s="28">
        <v>17</v>
      </c>
      <c r="C26" s="29">
        <f t="shared" si="0"/>
        <v>27505.015529156364</v>
      </c>
      <c r="D26" s="30">
        <f t="shared" si="1"/>
        <v>1521.0968725777554</v>
      </c>
      <c r="E26" s="30">
        <f t="shared" si="2"/>
        <v>1376.6883531661429</v>
      </c>
      <c r="F26" s="30">
        <f t="shared" si="3"/>
        <v>144.40851941161256</v>
      </c>
    </row>
    <row r="27" spans="2:6" x14ac:dyDescent="0.3">
      <c r="B27" s="28">
        <v>18</v>
      </c>
      <c r="C27" s="29">
        <f t="shared" si="0"/>
        <v>26121.443734224391</v>
      </c>
      <c r="D27" s="30">
        <f t="shared" si="1"/>
        <v>1521.0968725777554</v>
      </c>
      <c r="E27" s="30">
        <f t="shared" si="2"/>
        <v>1383.5717949319737</v>
      </c>
      <c r="F27" s="30">
        <f t="shared" si="3"/>
        <v>137.52507764578183</v>
      </c>
    </row>
    <row r="28" spans="2:6" x14ac:dyDescent="0.3">
      <c r="B28" s="28">
        <v>19</v>
      </c>
      <c r="C28" s="29">
        <f t="shared" si="0"/>
        <v>24730.954080317759</v>
      </c>
      <c r="D28" s="30">
        <f t="shared" si="1"/>
        <v>1521.0968725777554</v>
      </c>
      <c r="E28" s="30">
        <f t="shared" si="2"/>
        <v>1390.4896539066335</v>
      </c>
      <c r="F28" s="30">
        <f t="shared" si="3"/>
        <v>130.60721867112196</v>
      </c>
    </row>
    <row r="29" spans="2:6" x14ac:dyDescent="0.3">
      <c r="B29" s="28">
        <v>20</v>
      </c>
      <c r="C29" s="29">
        <f t="shared" si="0"/>
        <v>23333.511978141592</v>
      </c>
      <c r="D29" s="30">
        <f t="shared" si="1"/>
        <v>1521.0968725777554</v>
      </c>
      <c r="E29" s="30">
        <f t="shared" si="2"/>
        <v>1397.4421021761666</v>
      </c>
      <c r="F29" s="30">
        <f t="shared" si="3"/>
        <v>123.65477040158879</v>
      </c>
    </row>
    <row r="30" spans="2:6" x14ac:dyDescent="0.3">
      <c r="B30" s="28">
        <v>21</v>
      </c>
      <c r="C30" s="29">
        <f t="shared" si="0"/>
        <v>21929.082665454545</v>
      </c>
      <c r="D30" s="30">
        <f t="shared" si="1"/>
        <v>1521.0968725777554</v>
      </c>
      <c r="E30" s="30">
        <f t="shared" si="2"/>
        <v>1404.4293126870475</v>
      </c>
      <c r="F30" s="30">
        <f t="shared" si="3"/>
        <v>116.66755989070796</v>
      </c>
    </row>
    <row r="31" spans="2:6" x14ac:dyDescent="0.3">
      <c r="B31" s="28">
        <v>22</v>
      </c>
      <c r="C31" s="29">
        <f t="shared" si="0"/>
        <v>20517.631206204063</v>
      </c>
      <c r="D31" s="30">
        <f t="shared" si="1"/>
        <v>1521.0968725777554</v>
      </c>
      <c r="E31" s="30">
        <f t="shared" si="2"/>
        <v>1411.4514592504827</v>
      </c>
      <c r="F31" s="30">
        <f t="shared" si="3"/>
        <v>109.64541332727273</v>
      </c>
    </row>
    <row r="32" spans="2:6" x14ac:dyDescent="0.3">
      <c r="B32" s="28">
        <v>23</v>
      </c>
      <c r="C32" s="29">
        <f t="shared" si="0"/>
        <v>19099.122489657329</v>
      </c>
      <c r="D32" s="30">
        <f t="shared" si="1"/>
        <v>1521.0968725777554</v>
      </c>
      <c r="E32" s="30">
        <f t="shared" si="2"/>
        <v>1418.5087165467351</v>
      </c>
      <c r="F32" s="30">
        <f t="shared" si="3"/>
        <v>102.58815603102032</v>
      </c>
    </row>
    <row r="33" spans="2:6" x14ac:dyDescent="0.3">
      <c r="B33" s="28">
        <v>24</v>
      </c>
      <c r="C33" s="29">
        <f t="shared" si="0"/>
        <v>17673.521229527862</v>
      </c>
      <c r="D33" s="30">
        <f t="shared" si="1"/>
        <v>1521.0968725777554</v>
      </c>
      <c r="E33" s="30">
        <f t="shared" si="2"/>
        <v>1425.6012601294688</v>
      </c>
      <c r="F33" s="30">
        <f t="shared" si="3"/>
        <v>95.49561244828665</v>
      </c>
    </row>
    <row r="34" spans="2:6" x14ac:dyDescent="0.3">
      <c r="B34" s="28">
        <v>25</v>
      </c>
      <c r="C34" s="29">
        <f t="shared" si="0"/>
        <v>16240.791963097745</v>
      </c>
      <c r="D34" s="30">
        <f t="shared" si="1"/>
        <v>1521.0968725777554</v>
      </c>
      <c r="E34" s="30">
        <f t="shared" si="2"/>
        <v>1432.7292664301162</v>
      </c>
      <c r="F34" s="30">
        <f t="shared" si="3"/>
        <v>88.367606147639307</v>
      </c>
    </row>
    <row r="35" spans="2:6" x14ac:dyDescent="0.3">
      <c r="B35" s="28">
        <v>26</v>
      </c>
      <c r="C35" s="29">
        <f t="shared" si="0"/>
        <v>14800.899050335478</v>
      </c>
      <c r="D35" s="30">
        <f t="shared" si="1"/>
        <v>1521.0968725777554</v>
      </c>
      <c r="E35" s="30">
        <f t="shared" si="2"/>
        <v>1439.8929127622666</v>
      </c>
      <c r="F35" s="30">
        <f t="shared" si="3"/>
        <v>81.20395981548873</v>
      </c>
    </row>
    <row r="36" spans="2:6" x14ac:dyDescent="0.3">
      <c r="B36" s="28">
        <v>27</v>
      </c>
      <c r="C36" s="29">
        <f t="shared" si="0"/>
        <v>13353.8066730094</v>
      </c>
      <c r="D36" s="30">
        <f t="shared" si="1"/>
        <v>1521.0968725777554</v>
      </c>
      <c r="E36" s="30">
        <f t="shared" si="2"/>
        <v>1447.0923773260781</v>
      </c>
      <c r="F36" s="30">
        <f t="shared" si="3"/>
        <v>74.004495251677398</v>
      </c>
    </row>
    <row r="37" spans="2:6" x14ac:dyDescent="0.3">
      <c r="B37" s="28">
        <v>28</v>
      </c>
      <c r="C37" s="29">
        <f t="shared" si="0"/>
        <v>11899.478833796691</v>
      </c>
      <c r="D37" s="30">
        <f t="shared" si="1"/>
        <v>1521.0968725777554</v>
      </c>
      <c r="E37" s="30">
        <f t="shared" si="2"/>
        <v>1454.3278392127086</v>
      </c>
      <c r="F37" s="30">
        <f t="shared" si="3"/>
        <v>66.769033365046994</v>
      </c>
    </row>
    <row r="38" spans="2:6" x14ac:dyDescent="0.3">
      <c r="B38" s="28">
        <v>29</v>
      </c>
      <c r="C38" s="29">
        <f t="shared" si="0"/>
        <v>10437.879355387919</v>
      </c>
      <c r="D38" s="30">
        <f t="shared" si="1"/>
        <v>1521.0968725777554</v>
      </c>
      <c r="E38" s="30">
        <f t="shared" si="2"/>
        <v>1461.599478408772</v>
      </c>
      <c r="F38" s="30">
        <f t="shared" si="3"/>
        <v>59.497394168983455</v>
      </c>
    </row>
    <row r="39" spans="2:6" x14ac:dyDescent="0.3">
      <c r="B39" s="28">
        <v>30</v>
      </c>
      <c r="C39" s="29">
        <f t="shared" si="0"/>
        <v>8968.9718795871031</v>
      </c>
      <c r="D39" s="30">
        <f t="shared" si="1"/>
        <v>1521.0968725777554</v>
      </c>
      <c r="E39" s="30">
        <f t="shared" si="2"/>
        <v>1468.9074758008157</v>
      </c>
      <c r="F39" s="30">
        <f t="shared" si="3"/>
        <v>52.189396776939596</v>
      </c>
    </row>
    <row r="40" spans="2:6" x14ac:dyDescent="0.3">
      <c r="B40" s="28">
        <v>31</v>
      </c>
      <c r="C40" s="29">
        <f t="shared" si="0"/>
        <v>7492.719866407283</v>
      </c>
      <c r="D40" s="30">
        <f t="shared" si="1"/>
        <v>1521.0968725777554</v>
      </c>
      <c r="E40" s="30">
        <f t="shared" si="2"/>
        <v>1476.2520131798199</v>
      </c>
      <c r="F40" s="30">
        <f t="shared" si="3"/>
        <v>44.844859397935515</v>
      </c>
    </row>
    <row r="41" spans="2:6" x14ac:dyDescent="0.3">
      <c r="B41" s="28">
        <v>32</v>
      </c>
      <c r="C41" s="29">
        <f t="shared" si="0"/>
        <v>6009.0865931615645</v>
      </c>
      <c r="D41" s="30">
        <f t="shared" si="1"/>
        <v>1521.0968725777554</v>
      </c>
      <c r="E41" s="30">
        <f t="shared" si="2"/>
        <v>1483.633273245719</v>
      </c>
      <c r="F41" s="30">
        <f t="shared" si="3"/>
        <v>37.463599332036416</v>
      </c>
    </row>
    <row r="42" spans="2:6" x14ac:dyDescent="0.3">
      <c r="B42" s="28">
        <v>33</v>
      </c>
      <c r="C42" s="29">
        <f t="shared" si="0"/>
        <v>4518.0351535496166</v>
      </c>
      <c r="D42" s="30">
        <f t="shared" si="1"/>
        <v>1521.0968725777554</v>
      </c>
      <c r="E42" s="30">
        <f t="shared" si="2"/>
        <v>1491.0514396119477</v>
      </c>
      <c r="F42" s="30">
        <f t="shared" si="3"/>
        <v>30.045432965807823</v>
      </c>
    </row>
    <row r="43" spans="2:6" x14ac:dyDescent="0.3">
      <c r="B43" s="28">
        <v>34</v>
      </c>
      <c r="C43" s="29">
        <f t="shared" si="0"/>
        <v>3019.5284567396093</v>
      </c>
      <c r="D43" s="30">
        <f t="shared" si="1"/>
        <v>1521.0968725777554</v>
      </c>
      <c r="E43" s="30">
        <f t="shared" si="2"/>
        <v>1498.5066968100073</v>
      </c>
      <c r="F43" s="30">
        <f t="shared" si="3"/>
        <v>22.590175767748082</v>
      </c>
    </row>
    <row r="44" spans="2:6" x14ac:dyDescent="0.3">
      <c r="B44" s="28">
        <v>35</v>
      </c>
      <c r="C44" s="29">
        <f t="shared" si="0"/>
        <v>1513.5292264455518</v>
      </c>
      <c r="D44" s="30">
        <f t="shared" si="1"/>
        <v>1521.0968725777554</v>
      </c>
      <c r="E44" s="30">
        <f t="shared" si="2"/>
        <v>1505.9992302940575</v>
      </c>
      <c r="F44" s="30">
        <f t="shared" si="3"/>
        <v>15.097642283698047</v>
      </c>
    </row>
    <row r="45" spans="2:6" x14ac:dyDescent="0.3">
      <c r="B45" s="28">
        <v>36</v>
      </c>
      <c r="C45" s="55">
        <f t="shared" si="0"/>
        <v>2.4101609596982598E-11</v>
      </c>
      <c r="D45" s="30">
        <f t="shared" si="1"/>
        <v>1521.0968725777554</v>
      </c>
      <c r="E45" s="30">
        <f t="shared" si="2"/>
        <v>1513.5292264455277</v>
      </c>
      <c r="F45" s="30">
        <f t="shared" si="3"/>
        <v>7.5676461322277593</v>
      </c>
    </row>
    <row r="46" spans="2:6" x14ac:dyDescent="0.3">
      <c r="D46" s="56">
        <f>SUM(D10:D45)</f>
        <v>54759.487412799223</v>
      </c>
      <c r="E46" s="56">
        <f>SUM(E10:E45)</f>
        <v>49999.999999999985</v>
      </c>
      <c r="F46" s="57">
        <f>SUM(F10:F45)</f>
        <v>4759.4874127992143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D664-417B-43D4-A75E-4FB0E00C15C0}">
  <dimension ref="B2:H46"/>
  <sheetViews>
    <sheetView tabSelected="1" zoomScale="150" zoomScaleNormal="150" workbookViewId="0">
      <selection activeCell="D49" sqref="D49"/>
    </sheetView>
  </sheetViews>
  <sheetFormatPr defaultRowHeight="14.4" x14ac:dyDescent="0.3"/>
  <cols>
    <col min="2" max="7" width="16.77734375" customWidth="1"/>
    <col min="8" max="8" width="15.5546875" bestFit="1" customWidth="1"/>
  </cols>
  <sheetData>
    <row r="2" spans="2:8" x14ac:dyDescent="0.3">
      <c r="B2" t="s">
        <v>25</v>
      </c>
      <c r="C2" s="27">
        <v>50000</v>
      </c>
      <c r="F2" s="58" t="s">
        <v>68</v>
      </c>
    </row>
    <row r="3" spans="2:8" x14ac:dyDescent="0.3">
      <c r="B3" t="s">
        <v>21</v>
      </c>
      <c r="C3" s="48">
        <v>5.0000000000000001E-3</v>
      </c>
      <c r="D3" s="21" t="s">
        <v>24</v>
      </c>
    </row>
    <row r="4" spans="2:8" x14ac:dyDescent="0.3">
      <c r="B4" t="s">
        <v>66</v>
      </c>
      <c r="C4" s="21">
        <v>36</v>
      </c>
      <c r="D4" s="21" t="s">
        <v>67</v>
      </c>
    </row>
    <row r="5" spans="2:8" x14ac:dyDescent="0.3">
      <c r="B5" t="s">
        <v>69</v>
      </c>
      <c r="C5" s="21">
        <f>SUM(C10:C45)</f>
        <v>33.026733931723896</v>
      </c>
      <c r="D5" s="21" t="str">
        <f ca="1">_xlfn.FORMULATEXT(C5)</f>
        <v>=SOMA(C10:C45)</v>
      </c>
    </row>
    <row r="6" spans="2:8" x14ac:dyDescent="0.3">
      <c r="B6" t="s">
        <v>22</v>
      </c>
      <c r="C6" s="27">
        <f>C2/C5</f>
        <v>1513.9250554827765</v>
      </c>
      <c r="D6" s="21" t="str">
        <f ca="1">_xlfn.FORMULATEXT(C6)</f>
        <v>=C2/C5</v>
      </c>
    </row>
    <row r="8" spans="2:8" x14ac:dyDescent="0.3">
      <c r="B8" s="54" t="s">
        <v>26</v>
      </c>
      <c r="C8" s="54" t="s">
        <v>70</v>
      </c>
      <c r="D8" s="54" t="s">
        <v>27</v>
      </c>
      <c r="E8" s="54" t="s">
        <v>22</v>
      </c>
      <c r="F8" s="54" t="s">
        <v>28</v>
      </c>
      <c r="G8" s="54" t="s">
        <v>23</v>
      </c>
    </row>
    <row r="9" spans="2:8" x14ac:dyDescent="0.3">
      <c r="B9" s="28">
        <v>0</v>
      </c>
      <c r="C9" s="28"/>
      <c r="D9" s="29">
        <f>C2</f>
        <v>50000</v>
      </c>
      <c r="E9" s="28"/>
      <c r="F9" s="28"/>
      <c r="G9" s="28"/>
    </row>
    <row r="10" spans="2:8" x14ac:dyDescent="0.3">
      <c r="B10" s="28">
        <v>1</v>
      </c>
      <c r="C10" s="28">
        <f>1/(1+$C$3*B10)</f>
        <v>0.99502487562189068</v>
      </c>
      <c r="D10" s="29">
        <f>D9-F10</f>
        <v>48493.606909967384</v>
      </c>
      <c r="E10" s="29">
        <f>$C$6</f>
        <v>1513.9250554827765</v>
      </c>
      <c r="F10" s="29">
        <f>E10*C10</f>
        <v>1506.3930900326136</v>
      </c>
      <c r="G10" s="29">
        <f>E10-F10</f>
        <v>7.5319654501629429</v>
      </c>
      <c r="H10" t="str">
        <f ca="1">_xlfn.FORMULATEXT(C10)</f>
        <v>=1/(1+$C$3*B10)</v>
      </c>
    </row>
    <row r="11" spans="2:8" x14ac:dyDescent="0.3">
      <c r="B11" s="28">
        <v>2</v>
      </c>
      <c r="C11" s="28">
        <f t="shared" ref="C11:C45" si="0">1/(1+$C$3*B11)</f>
        <v>0.99009900990099009</v>
      </c>
      <c r="D11" s="29">
        <f t="shared" ref="D11:D27" si="1">D10-F11</f>
        <v>46994.671211469584</v>
      </c>
      <c r="E11" s="29">
        <f t="shared" ref="E11:E45" si="2">$C$6</f>
        <v>1513.9250554827765</v>
      </c>
      <c r="F11" s="29">
        <f t="shared" ref="F11:F27" si="3">E11*C11</f>
        <v>1498.9356984977985</v>
      </c>
      <c r="G11" s="29">
        <f t="shared" ref="G11:G27" si="4">E11-F11</f>
        <v>14.989356984978031</v>
      </c>
      <c r="H11" t="str">
        <f ca="1">_xlfn.FORMULATEXT(C11)</f>
        <v>=1/(1+$C$3*B11)</v>
      </c>
    </row>
    <row r="12" spans="2:8" x14ac:dyDescent="0.3">
      <c r="B12" s="28">
        <v>3</v>
      </c>
      <c r="C12" s="28">
        <f t="shared" si="0"/>
        <v>0.98522167487684742</v>
      </c>
      <c r="D12" s="29">
        <f t="shared" si="1"/>
        <v>45503.11943266882</v>
      </c>
      <c r="E12" s="29">
        <f t="shared" si="2"/>
        <v>1513.9250554827765</v>
      </c>
      <c r="F12" s="29">
        <f t="shared" si="3"/>
        <v>1491.5517788007653</v>
      </c>
      <c r="G12" s="29">
        <f t="shared" si="4"/>
        <v>22.373276682011237</v>
      </c>
      <c r="H12" t="str">
        <f t="shared" ref="H12:H27" ca="1" si="5">_xlfn.FORMULATEXT(C12)</f>
        <v>=1/(1+$C$3*B12)</v>
      </c>
    </row>
    <row r="13" spans="2:8" x14ac:dyDescent="0.3">
      <c r="B13" s="28">
        <v>4</v>
      </c>
      <c r="C13" s="28">
        <f t="shared" si="0"/>
        <v>0.98039215686274506</v>
      </c>
      <c r="D13" s="29">
        <f t="shared" si="1"/>
        <v>44018.879182195509</v>
      </c>
      <c r="E13" s="29">
        <f t="shared" si="2"/>
        <v>1513.9250554827765</v>
      </c>
      <c r="F13" s="29">
        <f t="shared" si="3"/>
        <v>1484.2402504733102</v>
      </c>
      <c r="G13" s="29">
        <f t="shared" si="4"/>
        <v>29.684805009466345</v>
      </c>
      <c r="H13" t="str">
        <f t="shared" ca="1" si="5"/>
        <v>=1/(1+$C$3*B13)</v>
      </c>
    </row>
    <row r="14" spans="2:8" x14ac:dyDescent="0.3">
      <c r="B14" s="28">
        <v>5</v>
      </c>
      <c r="C14" s="28">
        <f t="shared" si="0"/>
        <v>0.97560975609756106</v>
      </c>
      <c r="D14" s="29">
        <f t="shared" si="1"/>
        <v>42541.879128065972</v>
      </c>
      <c r="E14" s="29">
        <f t="shared" si="2"/>
        <v>1513.9250554827765</v>
      </c>
      <c r="F14" s="29">
        <f t="shared" si="3"/>
        <v>1477.0000541295383</v>
      </c>
      <c r="G14" s="29">
        <f t="shared" si="4"/>
        <v>36.925001353238258</v>
      </c>
      <c r="H14" t="str">
        <f t="shared" ca="1" si="5"/>
        <v>=1/(1+$C$3*B14)</v>
      </c>
    </row>
    <row r="15" spans="2:8" x14ac:dyDescent="0.3">
      <c r="B15" s="28">
        <v>6</v>
      </c>
      <c r="C15" s="28">
        <f t="shared" si="0"/>
        <v>0.970873786407767</v>
      </c>
      <c r="D15" s="29">
        <f t="shared" si="1"/>
        <v>41072.048977111823</v>
      </c>
      <c r="E15" s="29">
        <f t="shared" si="2"/>
        <v>1513.9250554827765</v>
      </c>
      <c r="F15" s="29">
        <f t="shared" si="3"/>
        <v>1469.830150954152</v>
      </c>
      <c r="G15" s="29">
        <f t="shared" si="4"/>
        <v>44.094904528624511</v>
      </c>
      <c r="H15" t="str">
        <f t="shared" ca="1" si="5"/>
        <v>=1/(1+$C$3*B15)</v>
      </c>
    </row>
    <row r="16" spans="2:8" x14ac:dyDescent="0.3">
      <c r="B16" s="28">
        <v>7</v>
      </c>
      <c r="C16" s="28">
        <f t="shared" si="0"/>
        <v>0.96618357487922713</v>
      </c>
      <c r="D16" s="29">
        <f t="shared" si="1"/>
        <v>39609.319454906239</v>
      </c>
      <c r="E16" s="29">
        <f t="shared" si="2"/>
        <v>1513.9250554827765</v>
      </c>
      <c r="F16" s="29">
        <f t="shared" si="3"/>
        <v>1462.7295222055814</v>
      </c>
      <c r="G16" s="29">
        <f t="shared" si="4"/>
        <v>51.195533277195182</v>
      </c>
      <c r="H16" t="str">
        <f t="shared" ca="1" si="5"/>
        <v>=1/(1+$C$3*B16)</v>
      </c>
    </row>
    <row r="17" spans="2:8" x14ac:dyDescent="0.3">
      <c r="B17" s="28">
        <v>8</v>
      </c>
      <c r="C17" s="28">
        <f t="shared" si="0"/>
        <v>0.96153846153846145</v>
      </c>
      <c r="D17" s="29">
        <f t="shared" si="1"/>
        <v>38153.622286172802</v>
      </c>
      <c r="E17" s="29">
        <f t="shared" si="2"/>
        <v>1513.9250554827765</v>
      </c>
      <c r="F17" s="29">
        <f t="shared" si="3"/>
        <v>1455.697168733439</v>
      </c>
      <c r="G17" s="29">
        <f t="shared" si="4"/>
        <v>58.227886749337586</v>
      </c>
      <c r="H17" t="str">
        <f t="shared" ca="1" si="5"/>
        <v>=1/(1+$C$3*B17)</v>
      </c>
    </row>
    <row r="18" spans="2:8" x14ac:dyDescent="0.3">
      <c r="B18" s="28">
        <v>9</v>
      </c>
      <c r="C18" s="28">
        <f t="shared" si="0"/>
        <v>0.95693779904306231</v>
      </c>
      <c r="D18" s="29">
        <f t="shared" si="1"/>
        <v>36704.890175662971</v>
      </c>
      <c r="E18" s="29">
        <f t="shared" si="2"/>
        <v>1513.9250554827765</v>
      </c>
      <c r="F18" s="29">
        <f t="shared" si="3"/>
        <v>1448.7321105098342</v>
      </c>
      <c r="G18" s="29">
        <f t="shared" si="4"/>
        <v>65.192944972942314</v>
      </c>
      <c r="H18" t="str">
        <f t="shared" ca="1" si="5"/>
        <v>=1/(1+$C$3*B18)</v>
      </c>
    </row>
    <row r="19" spans="2:8" x14ac:dyDescent="0.3">
      <c r="B19" s="28">
        <v>10</v>
      </c>
      <c r="C19" s="28">
        <f t="shared" si="0"/>
        <v>0.95238095238095233</v>
      </c>
      <c r="D19" s="29">
        <f t="shared" si="1"/>
        <v>35263.056789488895</v>
      </c>
      <c r="E19" s="29">
        <f t="shared" si="2"/>
        <v>1513.9250554827765</v>
      </c>
      <c r="F19" s="29">
        <f t="shared" si="3"/>
        <v>1441.8333861740728</v>
      </c>
      <c r="G19" s="29">
        <f t="shared" si="4"/>
        <v>72.091669308703786</v>
      </c>
      <c r="H19" t="str">
        <f t="shared" ca="1" si="5"/>
        <v>=1/(1+$C$3*B19)</v>
      </c>
    </row>
    <row r="20" spans="2:8" x14ac:dyDescent="0.3">
      <c r="B20" s="28">
        <v>11</v>
      </c>
      <c r="C20" s="28">
        <f t="shared" si="0"/>
        <v>0.94786729857819907</v>
      </c>
      <c r="D20" s="29">
        <f t="shared" si="1"/>
        <v>33828.056736898587</v>
      </c>
      <c r="E20" s="29">
        <f t="shared" si="2"/>
        <v>1513.9250554827765</v>
      </c>
      <c r="F20" s="29">
        <f t="shared" si="3"/>
        <v>1435.0000525903095</v>
      </c>
      <c r="G20" s="29">
        <f t="shared" si="4"/>
        <v>78.925002892467091</v>
      </c>
      <c r="H20" t="str">
        <f t="shared" ca="1" si="5"/>
        <v>=1/(1+$C$3*B20)</v>
      </c>
    </row>
    <row r="21" spans="2:8" x14ac:dyDescent="0.3">
      <c r="B21" s="28">
        <v>12</v>
      </c>
      <c r="C21" s="28">
        <f t="shared" si="0"/>
        <v>0.94339622641509424</v>
      </c>
      <c r="D21" s="29">
        <f t="shared" si="1"/>
        <v>32399.825552480874</v>
      </c>
      <c r="E21" s="29">
        <f t="shared" si="2"/>
        <v>1513.9250554827765</v>
      </c>
      <c r="F21" s="29">
        <f t="shared" si="3"/>
        <v>1428.2311844177136</v>
      </c>
      <c r="G21" s="29">
        <f t="shared" si="4"/>
        <v>85.693871065062922</v>
      </c>
      <c r="H21" t="str">
        <f t="shared" ca="1" si="5"/>
        <v>=1/(1+$C$3*B21)</v>
      </c>
    </row>
    <row r="22" spans="2:8" x14ac:dyDescent="0.3">
      <c r="B22" s="28">
        <v>13</v>
      </c>
      <c r="C22" s="28">
        <f t="shared" si="0"/>
        <v>0.93896713615023475</v>
      </c>
      <c r="D22" s="29">
        <f t="shared" si="1"/>
        <v>30978.299678788127</v>
      </c>
      <c r="E22" s="29">
        <f t="shared" si="2"/>
        <v>1513.9250554827765</v>
      </c>
      <c r="F22" s="29">
        <f t="shared" si="3"/>
        <v>1421.5258736927478</v>
      </c>
      <c r="G22" s="29">
        <f t="shared" si="4"/>
        <v>92.399181790028706</v>
      </c>
      <c r="H22" t="str">
        <f t="shared" ca="1" si="5"/>
        <v>=1/(1+$C$3*B22)</v>
      </c>
    </row>
    <row r="23" spans="2:8" x14ac:dyDescent="0.3">
      <c r="B23" s="28">
        <v>14</v>
      </c>
      <c r="C23" s="28">
        <f t="shared" si="0"/>
        <v>0.93457943925233644</v>
      </c>
      <c r="D23" s="29">
        <f t="shared" si="1"/>
        <v>29563.416449364973</v>
      </c>
      <c r="E23" s="29">
        <f t="shared" si="2"/>
        <v>1513.9250554827765</v>
      </c>
      <c r="F23" s="29">
        <f t="shared" si="3"/>
        <v>1414.8832294231556</v>
      </c>
      <c r="G23" s="29">
        <f t="shared" si="4"/>
        <v>99.041826059620917</v>
      </c>
      <c r="H23" t="str">
        <f t="shared" ca="1" si="5"/>
        <v>=1/(1+$C$3*B23)</v>
      </c>
    </row>
    <row r="24" spans="2:8" x14ac:dyDescent="0.3">
      <c r="B24" s="28">
        <v>15</v>
      </c>
      <c r="C24" s="28">
        <f t="shared" si="0"/>
        <v>0.93023255813953487</v>
      </c>
      <c r="D24" s="29">
        <f t="shared" si="1"/>
        <v>28155.114072171691</v>
      </c>
      <c r="E24" s="29">
        <f t="shared" si="2"/>
        <v>1513.9250554827765</v>
      </c>
      <c r="F24" s="29">
        <f t="shared" si="3"/>
        <v>1408.3023771932806</v>
      </c>
      <c r="G24" s="29">
        <f t="shared" si="4"/>
        <v>105.62267828949598</v>
      </c>
      <c r="H24" t="str">
        <f t="shared" ca="1" si="5"/>
        <v>=1/(1+$C$3*B24)</v>
      </c>
    </row>
    <row r="25" spans="2:8" x14ac:dyDescent="0.3">
      <c r="B25" s="28">
        <v>16</v>
      </c>
      <c r="C25" s="28">
        <f t="shared" si="0"/>
        <v>0.92592592592592582</v>
      </c>
      <c r="D25" s="29">
        <f t="shared" si="1"/>
        <v>26753.331613391343</v>
      </c>
      <c r="E25" s="29">
        <f t="shared" si="2"/>
        <v>1513.9250554827765</v>
      </c>
      <c r="F25" s="29">
        <f t="shared" si="3"/>
        <v>1401.7824587803484</v>
      </c>
      <c r="G25" s="29">
        <f t="shared" si="4"/>
        <v>112.14259670242814</v>
      </c>
      <c r="H25" t="str">
        <f t="shared" ca="1" si="5"/>
        <v>=1/(1+$C$3*B25)</v>
      </c>
    </row>
    <row r="26" spans="2:8" x14ac:dyDescent="0.3">
      <c r="B26" s="28">
        <v>17</v>
      </c>
      <c r="C26" s="28">
        <f t="shared" si="0"/>
        <v>0.92165898617511521</v>
      </c>
      <c r="D26" s="29">
        <f t="shared" si="1"/>
        <v>25358.008981609983</v>
      </c>
      <c r="E26" s="29">
        <f t="shared" si="2"/>
        <v>1513.9250554827765</v>
      </c>
      <c r="F26" s="29">
        <f t="shared" si="3"/>
        <v>1395.3226317813608</v>
      </c>
      <c r="G26" s="29">
        <f t="shared" si="4"/>
        <v>118.60242370141577</v>
      </c>
      <c r="H26" t="str">
        <f t="shared" ca="1" si="5"/>
        <v>=1/(1+$C$3*B26)</v>
      </c>
    </row>
    <row r="27" spans="2:8" x14ac:dyDescent="0.3">
      <c r="B27" s="28">
        <v>18</v>
      </c>
      <c r="C27" s="28">
        <f t="shared" si="0"/>
        <v>0.9174311926605504</v>
      </c>
      <c r="D27" s="59">
        <f t="shared" si="1"/>
        <v>23969.086912359729</v>
      </c>
      <c r="E27" s="29">
        <f t="shared" si="2"/>
        <v>1513.9250554827765</v>
      </c>
      <c r="F27" s="29">
        <f t="shared" si="3"/>
        <v>1388.9220692502536</v>
      </c>
      <c r="G27" s="29">
        <f t="shared" si="4"/>
        <v>125.00298623252297</v>
      </c>
      <c r="H27" t="str">
        <f t="shared" ca="1" si="5"/>
        <v>=1/(1+$C$3*B27)</v>
      </c>
    </row>
    <row r="28" spans="2:8" x14ac:dyDescent="0.3">
      <c r="B28" s="28">
        <v>19</v>
      </c>
      <c r="C28" s="28">
        <f t="shared" si="0"/>
        <v>0.91324200913242015</v>
      </c>
      <c r="D28" s="59">
        <f t="shared" ref="D28:D35" si="6">D27-F28</f>
        <v>22586.506953014727</v>
      </c>
      <c r="E28" s="29">
        <f t="shared" si="2"/>
        <v>1513.9250554827765</v>
      </c>
      <c r="F28" s="29">
        <f t="shared" ref="F28:F35" si="7">E28*C28</f>
        <v>1382.5799593450015</v>
      </c>
      <c r="G28" s="29">
        <f t="shared" ref="G28:G35" si="8">E28-F28</f>
        <v>131.34509613777504</v>
      </c>
      <c r="H28" t="str">
        <f t="shared" ref="H28:H35" ca="1" si="9">_xlfn.FORMULATEXT(C28)</f>
        <v>=1/(1+$C$3*B28)</v>
      </c>
    </row>
    <row r="29" spans="2:8" x14ac:dyDescent="0.3">
      <c r="B29" s="28">
        <v>20</v>
      </c>
      <c r="C29" s="28">
        <f t="shared" si="0"/>
        <v>0.90909090909090906</v>
      </c>
      <c r="D29" s="59">
        <f t="shared" si="6"/>
        <v>21210.211448030386</v>
      </c>
      <c r="E29" s="29">
        <f t="shared" si="2"/>
        <v>1513.9250554827765</v>
      </c>
      <c r="F29" s="29">
        <f t="shared" si="7"/>
        <v>1376.2955049843422</v>
      </c>
      <c r="G29" s="29">
        <f t="shared" si="8"/>
        <v>137.62955049843436</v>
      </c>
      <c r="H29" t="str">
        <f t="shared" ca="1" si="9"/>
        <v>=1/(1+$C$3*B29)</v>
      </c>
    </row>
    <row r="30" spans="2:8" x14ac:dyDescent="0.3">
      <c r="B30" s="28">
        <v>21</v>
      </c>
      <c r="C30" s="28">
        <f t="shared" si="0"/>
        <v>0.90497737556561086</v>
      </c>
      <c r="D30" s="59">
        <f t="shared" si="6"/>
        <v>19840.143524516563</v>
      </c>
      <c r="E30" s="29">
        <f t="shared" si="2"/>
        <v>1513.9250554827765</v>
      </c>
      <c r="F30" s="29">
        <f t="shared" si="7"/>
        <v>1370.067923513825</v>
      </c>
      <c r="G30" s="29">
        <f t="shared" si="8"/>
        <v>143.85713196895153</v>
      </c>
      <c r="H30" t="str">
        <f t="shared" ca="1" si="9"/>
        <v>=1/(1+$C$3*B30)</v>
      </c>
    </row>
    <row r="31" spans="2:8" x14ac:dyDescent="0.3">
      <c r="B31" s="28">
        <v>22</v>
      </c>
      <c r="C31" s="28">
        <f t="shared" si="0"/>
        <v>0.9009009009009008</v>
      </c>
      <c r="D31" s="59">
        <f t="shared" si="6"/>
        <v>18476.247078135682</v>
      </c>
      <c r="E31" s="29">
        <f t="shared" si="2"/>
        <v>1513.9250554827765</v>
      </c>
      <c r="F31" s="29">
        <f t="shared" si="7"/>
        <v>1363.8964463808795</v>
      </c>
      <c r="G31" s="29">
        <f t="shared" si="8"/>
        <v>150.02860910189702</v>
      </c>
      <c r="H31" t="str">
        <f t="shared" ca="1" si="9"/>
        <v>=1/(1+$C$3*B31)</v>
      </c>
    </row>
    <row r="32" spans="2:8" x14ac:dyDescent="0.3">
      <c r="B32" s="28">
        <v>23</v>
      </c>
      <c r="C32" s="28">
        <f t="shared" si="0"/>
        <v>0.89686098654708524</v>
      </c>
      <c r="D32" s="59">
        <f t="shared" si="6"/>
        <v>17118.466759317049</v>
      </c>
      <c r="E32" s="29">
        <f t="shared" si="2"/>
        <v>1513.9250554827765</v>
      </c>
      <c r="F32" s="29">
        <f t="shared" si="7"/>
        <v>1357.7803188186338</v>
      </c>
      <c r="G32" s="29">
        <f t="shared" si="8"/>
        <v>156.14473666414278</v>
      </c>
      <c r="H32" t="str">
        <f t="shared" ca="1" si="9"/>
        <v>=1/(1+$C$3*B32)</v>
      </c>
    </row>
    <row r="33" spans="2:8" x14ac:dyDescent="0.3">
      <c r="B33" s="28">
        <v>24</v>
      </c>
      <c r="C33" s="28">
        <f t="shared" si="0"/>
        <v>0.89285714285714279</v>
      </c>
      <c r="D33" s="59">
        <f t="shared" si="6"/>
        <v>15766.747959778855</v>
      </c>
      <c r="E33" s="29">
        <f t="shared" si="2"/>
        <v>1513.9250554827765</v>
      </c>
      <c r="F33" s="29">
        <f t="shared" si="7"/>
        <v>1351.7187995381933</v>
      </c>
      <c r="G33" s="29">
        <f t="shared" si="8"/>
        <v>162.20625594458329</v>
      </c>
      <c r="H33" t="str">
        <f t="shared" ca="1" si="9"/>
        <v>=1/(1+$C$3*B33)</v>
      </c>
    </row>
    <row r="34" spans="2:8" x14ac:dyDescent="0.3">
      <c r="B34" s="28">
        <v>25</v>
      </c>
      <c r="C34" s="28">
        <f t="shared" si="0"/>
        <v>0.88888888888888884</v>
      </c>
      <c r="D34" s="59">
        <f t="shared" si="6"/>
        <v>14421.03679934972</v>
      </c>
      <c r="E34" s="29">
        <f t="shared" si="2"/>
        <v>1513.9250554827765</v>
      </c>
      <c r="F34" s="29">
        <f t="shared" si="7"/>
        <v>1345.7111604291347</v>
      </c>
      <c r="G34" s="29">
        <f t="shared" si="8"/>
        <v>168.21389505364186</v>
      </c>
      <c r="H34" t="str">
        <f t="shared" ca="1" si="9"/>
        <v>=1/(1+$C$3*B34)</v>
      </c>
    </row>
    <row r="35" spans="2:8" x14ac:dyDescent="0.3">
      <c r="B35" s="28">
        <v>26</v>
      </c>
      <c r="C35" s="28">
        <f t="shared" si="0"/>
        <v>0.88495575221238942</v>
      </c>
      <c r="D35" s="59">
        <f t="shared" si="6"/>
        <v>13081.280113081777</v>
      </c>
      <c r="E35" s="29">
        <f t="shared" si="2"/>
        <v>1513.9250554827765</v>
      </c>
      <c r="F35" s="29">
        <f t="shared" si="7"/>
        <v>1339.7566862679439</v>
      </c>
      <c r="G35" s="29">
        <f t="shared" si="8"/>
        <v>174.16836921483264</v>
      </c>
      <c r="H35" t="str">
        <f t="shared" ca="1" si="9"/>
        <v>=1/(1+$C$3*B35)</v>
      </c>
    </row>
    <row r="36" spans="2:8" x14ac:dyDescent="0.3">
      <c r="B36" s="28">
        <v>27</v>
      </c>
      <c r="C36" s="28">
        <f t="shared" si="0"/>
        <v>0.88105726872246692</v>
      </c>
      <c r="D36" s="59">
        <f t="shared" ref="D36:D45" si="10">D35-F36</f>
        <v>11747.425438647613</v>
      </c>
      <c r="E36" s="29">
        <f t="shared" si="2"/>
        <v>1513.9250554827765</v>
      </c>
      <c r="F36" s="29">
        <f t="shared" ref="F36:F45" si="11">E36*C36</f>
        <v>1333.8546744341643</v>
      </c>
      <c r="G36" s="29">
        <f t="shared" ref="G36:G45" si="12">E36-F36</f>
        <v>180.07038104861226</v>
      </c>
      <c r="H36" t="str">
        <f t="shared" ref="H36:H45" ca="1" si="13">_xlfn.FORMULATEXT(C36)</f>
        <v>=1/(1+$C$3*B36)</v>
      </c>
    </row>
    <row r="37" spans="2:8" x14ac:dyDescent="0.3">
      <c r="B37" s="28">
        <v>28</v>
      </c>
      <c r="C37" s="28">
        <f t="shared" si="0"/>
        <v>0.8771929824561403</v>
      </c>
      <c r="D37" s="59">
        <f t="shared" si="10"/>
        <v>10419.421004013599</v>
      </c>
      <c r="E37" s="29">
        <f t="shared" si="2"/>
        <v>1513.9250554827765</v>
      </c>
      <c r="F37" s="29">
        <f t="shared" si="11"/>
        <v>1328.0044346340144</v>
      </c>
      <c r="G37" s="29">
        <f t="shared" si="12"/>
        <v>185.92062084876216</v>
      </c>
      <c r="H37" t="str">
        <f t="shared" ca="1" si="13"/>
        <v>=1/(1+$C$3*B37)</v>
      </c>
    </row>
    <row r="38" spans="2:8" x14ac:dyDescent="0.3">
      <c r="B38" s="28">
        <v>29</v>
      </c>
      <c r="C38" s="28">
        <f t="shared" si="0"/>
        <v>0.8733624454148472</v>
      </c>
      <c r="D38" s="59">
        <f t="shared" si="10"/>
        <v>9097.2157153823518</v>
      </c>
      <c r="E38" s="29">
        <f t="shared" si="2"/>
        <v>1513.9250554827765</v>
      </c>
      <c r="F38" s="29">
        <f t="shared" si="11"/>
        <v>1322.205288631246</v>
      </c>
      <c r="G38" s="29">
        <f t="shared" si="12"/>
        <v>191.71976685153049</v>
      </c>
      <c r="H38" t="str">
        <f t="shared" ca="1" si="13"/>
        <v>=1/(1+$C$3*B38)</v>
      </c>
    </row>
    <row r="39" spans="2:8" x14ac:dyDescent="0.3">
      <c r="B39" s="28">
        <v>30</v>
      </c>
      <c r="C39" s="28">
        <f t="shared" si="0"/>
        <v>0.86956521739130443</v>
      </c>
      <c r="D39" s="59">
        <f t="shared" si="10"/>
        <v>7780.7591453973291</v>
      </c>
      <c r="E39" s="29">
        <f t="shared" si="2"/>
        <v>1513.9250554827765</v>
      </c>
      <c r="F39" s="29">
        <f t="shared" si="11"/>
        <v>1316.4565699850232</v>
      </c>
      <c r="G39" s="29">
        <f t="shared" si="12"/>
        <v>197.46848549775336</v>
      </c>
      <c r="H39" t="str">
        <f t="shared" ca="1" si="13"/>
        <v>=1/(1+$C$3*B39)</v>
      </c>
    </row>
    <row r="40" spans="2:8" x14ac:dyDescent="0.3">
      <c r="B40" s="28">
        <v>31</v>
      </c>
      <c r="C40" s="28">
        <f t="shared" si="0"/>
        <v>0.86580086580086579</v>
      </c>
      <c r="D40" s="59">
        <f t="shared" si="10"/>
        <v>6470.0015216027177</v>
      </c>
      <c r="E40" s="29">
        <f t="shared" si="2"/>
        <v>1513.9250554827765</v>
      </c>
      <c r="F40" s="29">
        <f t="shared" si="11"/>
        <v>1310.7576237946116</v>
      </c>
      <c r="G40" s="29">
        <f t="shared" si="12"/>
        <v>203.16743168816492</v>
      </c>
      <c r="H40" t="str">
        <f t="shared" ca="1" si="13"/>
        <v>=1/(1+$C$3*B40)</v>
      </c>
    </row>
    <row r="41" spans="2:8" x14ac:dyDescent="0.3">
      <c r="B41" s="28">
        <v>32</v>
      </c>
      <c r="C41" s="28">
        <f t="shared" si="0"/>
        <v>0.86206896551724144</v>
      </c>
      <c r="D41" s="59">
        <f t="shared" si="10"/>
        <v>5164.8937151520477</v>
      </c>
      <c r="E41" s="29">
        <f t="shared" si="2"/>
        <v>1513.9250554827765</v>
      </c>
      <c r="F41" s="29">
        <f t="shared" si="11"/>
        <v>1305.1078064506696</v>
      </c>
      <c r="G41" s="29">
        <f t="shared" si="12"/>
        <v>208.81724903210693</v>
      </c>
      <c r="H41" t="str">
        <f t="shared" ca="1" si="13"/>
        <v>=1/(1+$C$3*B41)</v>
      </c>
    </row>
    <row r="42" spans="2:8" x14ac:dyDescent="0.3">
      <c r="B42" s="28">
        <v>33</v>
      </c>
      <c r="C42" s="28">
        <f t="shared" si="0"/>
        <v>0.85836909871244638</v>
      </c>
      <c r="D42" s="59">
        <f t="shared" si="10"/>
        <v>3865.387229759106</v>
      </c>
      <c r="E42" s="29">
        <f t="shared" si="2"/>
        <v>1513.9250554827765</v>
      </c>
      <c r="F42" s="29">
        <f t="shared" si="11"/>
        <v>1299.5064853929414</v>
      </c>
      <c r="G42" s="29">
        <f t="shared" si="12"/>
        <v>214.41857008983516</v>
      </c>
      <c r="H42" t="str">
        <f t="shared" ca="1" si="13"/>
        <v>=1/(1+$C$3*B42)</v>
      </c>
    </row>
    <row r="43" spans="2:8" x14ac:dyDescent="0.3">
      <c r="B43" s="28">
        <v>34</v>
      </c>
      <c r="C43" s="28">
        <f t="shared" si="0"/>
        <v>0.85470085470085477</v>
      </c>
      <c r="D43" s="59">
        <f t="shared" si="10"/>
        <v>2571.4341908849383</v>
      </c>
      <c r="E43" s="29">
        <f t="shared" si="2"/>
        <v>1513.9250554827765</v>
      </c>
      <c r="F43" s="29">
        <f t="shared" si="11"/>
        <v>1293.953038874168</v>
      </c>
      <c r="G43" s="29">
        <f t="shared" si="12"/>
        <v>219.97201660860856</v>
      </c>
      <c r="H43" t="str">
        <f t="shared" ca="1" si="13"/>
        <v>=1/(1+$C$3*B43)</v>
      </c>
    </row>
    <row r="44" spans="2:8" x14ac:dyDescent="0.3">
      <c r="B44" s="28">
        <v>35</v>
      </c>
      <c r="C44" s="28">
        <f t="shared" si="0"/>
        <v>0.85106382978723405</v>
      </c>
      <c r="D44" s="59">
        <f t="shared" si="10"/>
        <v>1282.9873351549156</v>
      </c>
      <c r="E44" s="29">
        <f t="shared" si="2"/>
        <v>1513.9250554827765</v>
      </c>
      <c r="F44" s="29">
        <f t="shared" si="11"/>
        <v>1288.4468557300227</v>
      </c>
      <c r="G44" s="29">
        <f t="shared" si="12"/>
        <v>225.47819975275388</v>
      </c>
      <c r="H44" t="str">
        <f t="shared" ca="1" si="13"/>
        <v>=1/(1+$C$3*B44)</v>
      </c>
    </row>
    <row r="45" spans="2:8" x14ac:dyDescent="0.3">
      <c r="B45" s="28">
        <v>36</v>
      </c>
      <c r="C45" s="28">
        <f t="shared" si="0"/>
        <v>0.84745762711864414</v>
      </c>
      <c r="D45" s="55">
        <f t="shared" si="10"/>
        <v>2.0236257114447653E-11</v>
      </c>
      <c r="E45" s="29">
        <f t="shared" si="2"/>
        <v>1513.9250554827765</v>
      </c>
      <c r="F45" s="29">
        <f t="shared" si="11"/>
        <v>1282.9873351548954</v>
      </c>
      <c r="G45" s="29">
        <f t="shared" si="12"/>
        <v>230.93772032788115</v>
      </c>
      <c r="H45" t="str">
        <f t="shared" ca="1" si="13"/>
        <v>=1/(1+$C$3*B45)</v>
      </c>
    </row>
    <row r="46" spans="2:8" x14ac:dyDescent="0.3">
      <c r="E46" s="60">
        <f>SUM(E10:E45)</f>
        <v>54501.301997379931</v>
      </c>
      <c r="F46" s="60">
        <f>SUM(F10:F45)</f>
        <v>49999.999999999985</v>
      </c>
      <c r="G46" s="60">
        <f>SUM(G10:G45)</f>
        <v>4501.3019973799701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7C0F-515E-489C-994A-8C9E86BA6DD1}">
  <dimension ref="B2:E6"/>
  <sheetViews>
    <sheetView zoomScale="160" zoomScaleNormal="160" workbookViewId="0">
      <selection activeCell="C2" sqref="C2"/>
    </sheetView>
  </sheetViews>
  <sheetFormatPr defaultRowHeight="14.4" x14ac:dyDescent="0.3"/>
  <cols>
    <col min="2" max="2" width="11.44140625" bestFit="1" customWidth="1"/>
    <col min="5" max="5" width="16.6640625" bestFit="1" customWidth="1"/>
  </cols>
  <sheetData>
    <row r="2" spans="2:5" x14ac:dyDescent="0.3">
      <c r="B2" t="s">
        <v>71</v>
      </c>
      <c r="C2" s="61">
        <v>0.01</v>
      </c>
      <c r="D2" s="21" t="s">
        <v>24</v>
      </c>
    </row>
    <row r="3" spans="2:5" x14ac:dyDescent="0.3">
      <c r="B3" t="s">
        <v>72</v>
      </c>
      <c r="C3" t="s">
        <v>73</v>
      </c>
      <c r="D3" s="21" t="s">
        <v>74</v>
      </c>
    </row>
    <row r="4" spans="2:5" x14ac:dyDescent="0.3">
      <c r="B4" s="63" t="s">
        <v>75</v>
      </c>
      <c r="C4" s="64">
        <f>((1+C2)^12)-1</f>
        <v>0.12682503013196977</v>
      </c>
      <c r="D4" s="65" t="s">
        <v>76</v>
      </c>
      <c r="E4" s="63" t="str">
        <f ca="1">_xlfn.FORMULATEXT(C4)</f>
        <v>=((1+C2)^12)-1</v>
      </c>
    </row>
    <row r="6" spans="2:5" x14ac:dyDescent="0.3">
      <c r="B6" t="s">
        <v>71</v>
      </c>
      <c r="C6" s="61">
        <f>((1+C4)^(1/12))-1</f>
        <v>1.0000000000000009E-2</v>
      </c>
      <c r="D6" s="21" t="s">
        <v>24</v>
      </c>
      <c r="E6" s="63" t="str">
        <f ca="1">_xlfn.FORMULATEXT(C6)</f>
        <v>=((1+C4)^(1/12))-1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8B2F7-D7E6-47CA-8E6B-C99858A339BD}">
  <dimension ref="B2:D11"/>
  <sheetViews>
    <sheetView zoomScale="170" zoomScaleNormal="170" workbookViewId="0">
      <selection activeCell="C14" sqref="C14"/>
    </sheetView>
  </sheetViews>
  <sheetFormatPr defaultRowHeight="14.4" x14ac:dyDescent="0.3"/>
  <cols>
    <col min="1" max="1" width="8.88671875" style="22"/>
    <col min="2" max="2" width="30.88671875" style="22" customWidth="1"/>
    <col min="3" max="3" width="29.44140625" style="22" customWidth="1"/>
    <col min="4" max="4" width="18" style="22" bestFit="1" customWidth="1"/>
    <col min="5" max="16384" width="8.88671875" style="22"/>
  </cols>
  <sheetData>
    <row r="2" spans="2:4" x14ac:dyDescent="0.3">
      <c r="B2" s="70" t="s">
        <v>20</v>
      </c>
      <c r="C2" s="70"/>
    </row>
    <row r="3" spans="2:4" x14ac:dyDescent="0.3">
      <c r="B3" s="26" t="s">
        <v>9</v>
      </c>
      <c r="C3" s="23">
        <v>0.18</v>
      </c>
    </row>
    <row r="4" spans="2:4" x14ac:dyDescent="0.3">
      <c r="B4" s="26" t="s">
        <v>10</v>
      </c>
      <c r="C4" s="24">
        <v>12</v>
      </c>
    </row>
    <row r="5" spans="2:4" x14ac:dyDescent="0.3">
      <c r="B5" s="26" t="s">
        <v>11</v>
      </c>
      <c r="C5" s="25">
        <f>((1+(C3/C4))^12)-1</f>
        <v>0.19561817146153326</v>
      </c>
      <c r="D5" s="22" t="str">
        <f ca="1">_xlfn.FORMULATEXT(C5)</f>
        <v>=((1+(C3/C4))^12)-1</v>
      </c>
    </row>
    <row r="7" spans="2:4" ht="14.4" customHeight="1" x14ac:dyDescent="0.3">
      <c r="B7" s="70" t="s">
        <v>19</v>
      </c>
      <c r="C7" s="70"/>
    </row>
    <row r="8" spans="2:4" x14ac:dyDescent="0.3">
      <c r="B8" s="26" t="s">
        <v>15</v>
      </c>
      <c r="C8" s="23">
        <v>1.7999999999999999E-2</v>
      </c>
    </row>
    <row r="9" spans="2:4" x14ac:dyDescent="0.3">
      <c r="B9" s="26" t="s">
        <v>16</v>
      </c>
      <c r="C9" s="25">
        <f>((1+C8)^12)-1</f>
        <v>0.23872053157552808</v>
      </c>
      <c r="D9" s="22" t="str">
        <f t="shared" ref="D9:D11" ca="1" si="0">_xlfn.FORMULATEXT(C9)</f>
        <v>=((1+C8)^12)-1</v>
      </c>
    </row>
    <row r="10" spans="2:4" x14ac:dyDescent="0.3">
      <c r="B10" s="26" t="s">
        <v>17</v>
      </c>
      <c r="C10" s="23">
        <f>C9</f>
        <v>0.23872053157552808</v>
      </c>
      <c r="D10" s="22" t="str">
        <f t="shared" ca="1" si="0"/>
        <v>=C9</v>
      </c>
    </row>
    <row r="11" spans="2:4" x14ac:dyDescent="0.3">
      <c r="B11" s="26" t="s">
        <v>18</v>
      </c>
      <c r="C11" s="25">
        <f>((1+C10)^(1/12))-1</f>
        <v>1.8000000000000016E-2</v>
      </c>
      <c r="D11" s="22" t="str">
        <f t="shared" ca="1" si="0"/>
        <v>=((1+C10)^(1/12))-1</v>
      </c>
    </row>
  </sheetData>
  <mergeCells count="2">
    <mergeCell ref="B7:C7"/>
    <mergeCell ref="B2:C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137A-E047-49A3-9EBA-B47009621672}">
  <dimension ref="B2:E7"/>
  <sheetViews>
    <sheetView zoomScale="180" zoomScaleNormal="180" workbookViewId="0">
      <selection activeCell="E7" sqref="E7"/>
    </sheetView>
  </sheetViews>
  <sheetFormatPr defaultRowHeight="14.4" x14ac:dyDescent="0.3"/>
  <cols>
    <col min="1" max="1" width="8.88671875" style="22"/>
    <col min="2" max="2" width="12.33203125" style="22" customWidth="1"/>
    <col min="3" max="3" width="17.88671875" style="22" customWidth="1"/>
    <col min="4" max="4" width="18" style="22" bestFit="1" customWidth="1"/>
    <col min="5" max="16384" width="8.88671875" style="22"/>
  </cols>
  <sheetData>
    <row r="2" spans="2:5" x14ac:dyDescent="0.3">
      <c r="B2" s="43" t="s">
        <v>34</v>
      </c>
      <c r="C2" s="43" t="s">
        <v>32</v>
      </c>
      <c r="D2" s="43" t="s">
        <v>33</v>
      </c>
    </row>
    <row r="3" spans="2:5" x14ac:dyDescent="0.3">
      <c r="B3" s="35" t="s">
        <v>29</v>
      </c>
      <c r="C3" s="13">
        <v>0.02</v>
      </c>
      <c r="D3" s="13">
        <v>0.02</v>
      </c>
    </row>
    <row r="4" spans="2:5" x14ac:dyDescent="0.3">
      <c r="B4" s="35" t="s">
        <v>30</v>
      </c>
      <c r="C4" s="14">
        <v>12</v>
      </c>
      <c r="D4" s="14">
        <v>12</v>
      </c>
    </row>
    <row r="5" spans="2:5" x14ac:dyDescent="0.3">
      <c r="B5" s="32" t="s">
        <v>31</v>
      </c>
      <c r="C5" s="25">
        <f>C3*C4</f>
        <v>0.24</v>
      </c>
      <c r="D5" s="25">
        <f>((1+D3)^D4)-1</f>
        <v>0.26824179456254527</v>
      </c>
      <c r="E5" s="31">
        <f>D5-C5</f>
        <v>2.8241794562545275E-2</v>
      </c>
    </row>
    <row r="7" spans="2:5" x14ac:dyDescent="0.3">
      <c r="E7" s="6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2866-97A0-4163-A73B-9AD7D60906E1}">
  <dimension ref="B2:D11"/>
  <sheetViews>
    <sheetView zoomScale="150" zoomScaleNormal="150" workbookViewId="0">
      <selection activeCell="G8" sqref="G8"/>
    </sheetView>
  </sheetViews>
  <sheetFormatPr defaultRowHeight="14.4" x14ac:dyDescent="0.3"/>
  <cols>
    <col min="3" max="3" width="13.77734375" bestFit="1" customWidth="1"/>
    <col min="4" max="4" width="15.5546875" bestFit="1" customWidth="1"/>
  </cols>
  <sheetData>
    <row r="2" spans="2:4" x14ac:dyDescent="0.3">
      <c r="B2" t="s">
        <v>77</v>
      </c>
      <c r="C2" s="62">
        <v>4.4999999999999998E-2</v>
      </c>
      <c r="D2" s="21" t="s">
        <v>24</v>
      </c>
    </row>
    <row r="3" spans="2:4" x14ac:dyDescent="0.3">
      <c r="B3" t="s">
        <v>66</v>
      </c>
      <c r="C3" s="21">
        <v>156</v>
      </c>
      <c r="D3" s="21" t="s">
        <v>78</v>
      </c>
    </row>
    <row r="4" spans="2:4" x14ac:dyDescent="0.3">
      <c r="B4" t="s">
        <v>65</v>
      </c>
      <c r="C4" s="27">
        <v>10000</v>
      </c>
    </row>
    <row r="6" spans="2:4" x14ac:dyDescent="0.3">
      <c r="B6" t="s">
        <v>77</v>
      </c>
      <c r="C6" s="67">
        <f>((1+C2)^(1/30))-1</f>
        <v>1.4683064217415609E-3</v>
      </c>
      <c r="D6" s="21" t="s">
        <v>79</v>
      </c>
    </row>
    <row r="7" spans="2:4" x14ac:dyDescent="0.3">
      <c r="B7" t="s">
        <v>66</v>
      </c>
      <c r="C7" s="21">
        <f>C3/30</f>
        <v>5.2</v>
      </c>
      <c r="D7" s="21" t="s">
        <v>67</v>
      </c>
    </row>
    <row r="9" spans="2:4" x14ac:dyDescent="0.3">
      <c r="B9" t="s">
        <v>80</v>
      </c>
      <c r="C9" s="27">
        <f>((1+C2)^C7)*C4</f>
        <v>12572.009783860458</v>
      </c>
      <c r="D9" t="str">
        <f ca="1">_xlfn.FORMULATEXT(C9)</f>
        <v>=((1+C2)^C7)*C4</v>
      </c>
    </row>
    <row r="10" spans="2:4" x14ac:dyDescent="0.3">
      <c r="B10" t="s">
        <v>81</v>
      </c>
      <c r="C10" s="21"/>
    </row>
    <row r="11" spans="2:4" x14ac:dyDescent="0.3">
      <c r="B11" t="s">
        <v>80</v>
      </c>
      <c r="C11" s="27">
        <f>((1+C6)^C3)*C4</f>
        <v>12572.009783860374</v>
      </c>
      <c r="D11" t="str">
        <f ca="1">_xlfn.FORMULATEXT(C11)</f>
        <v>=((1+C6)^C3)*C4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7961-00D9-4F18-A162-CF1154557150}">
  <dimension ref="B2:E11"/>
  <sheetViews>
    <sheetView zoomScale="160" zoomScaleNormal="160" workbookViewId="0">
      <selection activeCell="F6" sqref="F6:G6"/>
    </sheetView>
  </sheetViews>
  <sheetFormatPr defaultRowHeight="14.4" x14ac:dyDescent="0.3"/>
  <cols>
    <col min="1" max="1" width="8.88671875" style="2"/>
    <col min="2" max="2" width="34.6640625" style="2" customWidth="1"/>
    <col min="3" max="3" width="18" style="2" customWidth="1"/>
    <col min="4" max="4" width="3.77734375" style="2" customWidth="1"/>
    <col min="5" max="5" width="16.21875" style="2" bestFit="1" customWidth="1"/>
    <col min="6" max="16384" width="8.88671875" style="2"/>
  </cols>
  <sheetData>
    <row r="2" spans="2:5" x14ac:dyDescent="0.3">
      <c r="B2" s="70" t="s">
        <v>6</v>
      </c>
      <c r="C2" s="70"/>
    </row>
    <row r="3" spans="2:5" x14ac:dyDescent="0.3">
      <c r="B3" s="20" t="s">
        <v>35</v>
      </c>
      <c r="C3" s="9">
        <v>8000</v>
      </c>
    </row>
    <row r="4" spans="2:5" x14ac:dyDescent="0.3">
      <c r="B4" s="20" t="s">
        <v>36</v>
      </c>
      <c r="C4" s="33">
        <v>0.06</v>
      </c>
    </row>
    <row r="5" spans="2:5" x14ac:dyDescent="0.3">
      <c r="B5" s="20" t="s">
        <v>37</v>
      </c>
      <c r="C5" s="10">
        <v>47</v>
      </c>
    </row>
    <row r="6" spans="2:5" x14ac:dyDescent="0.3">
      <c r="B6" s="11"/>
      <c r="C6" s="11"/>
    </row>
    <row r="7" spans="2:5" x14ac:dyDescent="0.3">
      <c r="B7" s="70" t="s">
        <v>42</v>
      </c>
      <c r="C7" s="70"/>
    </row>
    <row r="8" spans="2:5" x14ac:dyDescent="0.3">
      <c r="B8" s="20" t="s">
        <v>38</v>
      </c>
      <c r="C8" s="34">
        <f>((1+C4)^(1/30))-1</f>
        <v>1.94418441798061E-3</v>
      </c>
      <c r="E8" s="36" t="str">
        <f ca="1">_xlfn.FORMULATEXT(C8)</f>
        <v>=((1+C4)^(1/30))-1</v>
      </c>
    </row>
    <row r="9" spans="2:5" x14ac:dyDescent="0.3">
      <c r="B9" s="20" t="s">
        <v>39</v>
      </c>
      <c r="C9" s="34">
        <f>((1+C8)^47)-1</f>
        <v>9.55844400203405E-2</v>
      </c>
      <c r="E9" s="36" t="str">
        <f ca="1">_xlfn.FORMULATEXT(C9)</f>
        <v>=((1+C8)^47)-1</v>
      </c>
    </row>
    <row r="10" spans="2:5" x14ac:dyDescent="0.3">
      <c r="B10" s="20" t="s">
        <v>40</v>
      </c>
      <c r="C10" s="9">
        <f>C9*C3</f>
        <v>764.67552016272396</v>
      </c>
      <c r="E10" s="36" t="str">
        <f ca="1">_xlfn.FORMULATEXT(C10)</f>
        <v>=C9*C3</v>
      </c>
    </row>
    <row r="11" spans="2:5" x14ac:dyDescent="0.3">
      <c r="B11" s="44" t="s">
        <v>41</v>
      </c>
      <c r="C11" s="45">
        <f>C3+C10</f>
        <v>8764.6755201627238</v>
      </c>
      <c r="E11" s="36" t="str">
        <f ca="1">_xlfn.FORMULATEXT(C11)</f>
        <v>=C3+C10</v>
      </c>
    </row>
  </sheetData>
  <mergeCells count="2">
    <mergeCell ref="B2:C2"/>
    <mergeCell ref="B7:C7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6B47-DD79-473D-B2BA-93CC153B22E9}">
  <dimension ref="B2:E12"/>
  <sheetViews>
    <sheetView zoomScale="160" zoomScaleNormal="160" workbookViewId="0">
      <selection activeCell="E6" sqref="E6"/>
    </sheetView>
  </sheetViews>
  <sheetFormatPr defaultRowHeight="14.4" x14ac:dyDescent="0.3"/>
  <cols>
    <col min="1" max="1" width="8.88671875" style="2"/>
    <col min="2" max="2" width="40" style="2" customWidth="1"/>
    <col min="3" max="3" width="18" style="2" customWidth="1"/>
    <col min="4" max="4" width="3.77734375" style="2" customWidth="1"/>
    <col min="5" max="5" width="16.21875" style="2" bestFit="1" customWidth="1"/>
    <col min="6" max="16384" width="8.88671875" style="2"/>
  </cols>
  <sheetData>
    <row r="2" spans="2:5" x14ac:dyDescent="0.3">
      <c r="B2" s="70" t="s">
        <v>6</v>
      </c>
      <c r="C2" s="70"/>
    </row>
    <row r="3" spans="2:5" x14ac:dyDescent="0.3">
      <c r="B3" s="20" t="s">
        <v>35</v>
      </c>
      <c r="C3" s="9">
        <v>12500</v>
      </c>
    </row>
    <row r="4" spans="2:5" x14ac:dyDescent="0.3">
      <c r="B4" s="20" t="s">
        <v>43</v>
      </c>
      <c r="C4" s="10">
        <v>130</v>
      </c>
    </row>
    <row r="5" spans="2:5" x14ac:dyDescent="0.3">
      <c r="B5" s="20" t="s">
        <v>44</v>
      </c>
      <c r="C5" s="37">
        <v>0.01</v>
      </c>
    </row>
    <row r="6" spans="2:5" x14ac:dyDescent="0.3">
      <c r="B6" s="20" t="s">
        <v>7</v>
      </c>
      <c r="C6" s="37">
        <v>0.02</v>
      </c>
    </row>
    <row r="7" spans="2:5" x14ac:dyDescent="0.3">
      <c r="B7" s="11"/>
      <c r="C7" s="11"/>
    </row>
    <row r="8" spans="2:5" x14ac:dyDescent="0.3">
      <c r="B8" s="70" t="s">
        <v>42</v>
      </c>
      <c r="C8" s="70"/>
    </row>
    <row r="9" spans="2:5" x14ac:dyDescent="0.3">
      <c r="B9" s="20" t="s">
        <v>45</v>
      </c>
      <c r="C9" s="34">
        <f>C5/30*C4</f>
        <v>4.3333333333333335E-2</v>
      </c>
      <c r="E9" s="36" t="str">
        <f ca="1">_xlfn.FORMULATEXT(C9)</f>
        <v>=C5/30*C4</v>
      </c>
    </row>
    <row r="10" spans="2:5" x14ac:dyDescent="0.3">
      <c r="B10" s="20" t="s">
        <v>46</v>
      </c>
      <c r="C10" s="9">
        <f>C9*C3</f>
        <v>541.66666666666663</v>
      </c>
      <c r="E10" s="36" t="str">
        <f ca="1">_xlfn.FORMULATEXT(C10)</f>
        <v>=C9*C3</v>
      </c>
    </row>
    <row r="11" spans="2:5" x14ac:dyDescent="0.3">
      <c r="B11" s="20" t="s">
        <v>47</v>
      </c>
      <c r="C11" s="9">
        <f>C6*C3</f>
        <v>250</v>
      </c>
      <c r="E11" s="36" t="str">
        <f ca="1">_xlfn.FORMULATEXT(C11)</f>
        <v>=C6*C3</v>
      </c>
    </row>
    <row r="12" spans="2:5" x14ac:dyDescent="0.3">
      <c r="B12" s="44" t="s">
        <v>48</v>
      </c>
      <c r="C12" s="45">
        <f>C3+C10+C11</f>
        <v>13291.666666666666</v>
      </c>
      <c r="E12" s="36" t="str">
        <f ca="1">_xlfn.FORMULATEXT(C12)</f>
        <v>=C3+C10+C11</v>
      </c>
    </row>
  </sheetData>
  <mergeCells count="2">
    <mergeCell ref="B2:C2"/>
    <mergeCell ref="B8:C8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3920-315E-4AB5-A33A-3B03EE5EFD47}">
  <dimension ref="B2:E15"/>
  <sheetViews>
    <sheetView zoomScale="150" zoomScaleNormal="150" workbookViewId="0">
      <selection activeCell="F12" sqref="F12"/>
    </sheetView>
  </sheetViews>
  <sheetFormatPr defaultRowHeight="14.4" x14ac:dyDescent="0.3"/>
  <cols>
    <col min="1" max="1" width="8.88671875" style="2"/>
    <col min="2" max="2" width="25.44140625" style="2" customWidth="1"/>
    <col min="3" max="3" width="17.109375" style="2" customWidth="1"/>
    <col min="4" max="4" width="22.88671875" style="2" customWidth="1"/>
    <col min="5" max="5" width="15" style="2" customWidth="1"/>
    <col min="6" max="16384" width="8.88671875" style="2"/>
  </cols>
  <sheetData>
    <row r="2" spans="2:5" x14ac:dyDescent="0.3">
      <c r="B2" s="72" t="s">
        <v>49</v>
      </c>
      <c r="C2" s="73"/>
    </row>
    <row r="3" spans="2:5" x14ac:dyDescent="0.3">
      <c r="B3" s="8" t="s">
        <v>50</v>
      </c>
      <c r="C3" s="38">
        <v>10000</v>
      </c>
    </row>
    <row r="5" spans="2:5" ht="28.8" x14ac:dyDescent="0.3">
      <c r="B5" s="3" t="s">
        <v>51</v>
      </c>
      <c r="C5" s="3" t="s">
        <v>52</v>
      </c>
      <c r="D5" s="3" t="s">
        <v>53</v>
      </c>
    </row>
    <row r="6" spans="2:5" x14ac:dyDescent="0.3">
      <c r="B6" s="18" t="s">
        <v>54</v>
      </c>
      <c r="C6" s="39">
        <v>0.96750999999999998</v>
      </c>
      <c r="D6" s="40">
        <f>C6/100</f>
        <v>9.675099999999999E-3</v>
      </c>
      <c r="E6" s="36" t="str">
        <f ca="1">_xlfn.FORMULATEXT(D6)</f>
        <v>=C6/100</v>
      </c>
    </row>
    <row r="7" spans="2:5" x14ac:dyDescent="0.3">
      <c r="B7" s="18" t="s">
        <v>55</v>
      </c>
      <c r="C7" s="39">
        <v>0.96223199999999998</v>
      </c>
      <c r="D7" s="40">
        <f t="shared" ref="D7:D11" si="0">C7/100</f>
        <v>9.6223200000000002E-3</v>
      </c>
      <c r="E7" s="36" t="str">
        <f t="shared" ref="E7:E11" ca="1" si="1">_xlfn.FORMULATEXT(D7)</f>
        <v>=C7/100</v>
      </c>
    </row>
    <row r="8" spans="2:5" x14ac:dyDescent="0.3">
      <c r="B8" s="18" t="s">
        <v>56</v>
      </c>
      <c r="C8" s="39">
        <v>0.15571399999999999</v>
      </c>
      <c r="D8" s="40">
        <f t="shared" si="0"/>
        <v>1.5571399999999998E-3</v>
      </c>
      <c r="E8" s="36" t="str">
        <f t="shared" ca="1" si="1"/>
        <v>=C8/100</v>
      </c>
    </row>
    <row r="9" spans="2:5" x14ac:dyDescent="0.3">
      <c r="B9" s="18" t="s">
        <v>57</v>
      </c>
      <c r="C9" s="39">
        <v>0.76867200000000002</v>
      </c>
      <c r="D9" s="40">
        <f t="shared" si="0"/>
        <v>7.6867200000000002E-3</v>
      </c>
      <c r="E9" s="36" t="str">
        <f t="shared" ca="1" si="1"/>
        <v>=C9/100</v>
      </c>
    </row>
    <row r="10" spans="2:5" x14ac:dyDescent="0.3">
      <c r="B10" s="18" t="s">
        <v>58</v>
      </c>
      <c r="C10" s="39">
        <v>0.198293</v>
      </c>
      <c r="D10" s="40">
        <f t="shared" si="0"/>
        <v>1.9829299999999999E-3</v>
      </c>
      <c r="E10" s="36" t="str">
        <f t="shared" ca="1" si="1"/>
        <v>=C10/100</v>
      </c>
    </row>
    <row r="11" spans="2:5" x14ac:dyDescent="0.3">
      <c r="B11" s="18" t="s">
        <v>59</v>
      </c>
      <c r="C11" s="39">
        <v>0.45064100000000001</v>
      </c>
      <c r="D11" s="40">
        <f t="shared" si="0"/>
        <v>4.5064099999999998E-3</v>
      </c>
      <c r="E11" s="36" t="str">
        <f t="shared" ca="1" si="1"/>
        <v>=C11/100</v>
      </c>
    </row>
    <row r="13" spans="2:5" x14ac:dyDescent="0.3">
      <c r="B13" s="74" t="s">
        <v>62</v>
      </c>
      <c r="C13" s="75"/>
    </row>
    <row r="14" spans="2:5" x14ac:dyDescent="0.3">
      <c r="B14" s="8" t="s">
        <v>60</v>
      </c>
      <c r="C14" s="42">
        <f>SUM(D6:D11)</f>
        <v>3.5030619999999998E-2</v>
      </c>
    </row>
    <row r="15" spans="2:5" x14ac:dyDescent="0.3">
      <c r="B15" s="8" t="s">
        <v>61</v>
      </c>
      <c r="C15" s="41">
        <f>C3*(1+C14)</f>
        <v>10350.306199999999</v>
      </c>
    </row>
  </sheetData>
  <mergeCells count="2">
    <mergeCell ref="B2:C2"/>
    <mergeCell ref="B13:C1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86F7-D4BA-4C96-B856-17AECA571271}">
  <dimension ref="B2:D6"/>
  <sheetViews>
    <sheetView zoomScale="150" zoomScaleNormal="150" workbookViewId="0">
      <selection activeCell="C6" sqref="C6"/>
    </sheetView>
  </sheetViews>
  <sheetFormatPr defaultRowHeight="14.4" x14ac:dyDescent="0.3"/>
  <cols>
    <col min="1" max="1" width="8.88671875" style="2"/>
    <col min="2" max="2" width="28.109375" style="2" customWidth="1"/>
    <col min="3" max="3" width="20.5546875" style="2" customWidth="1"/>
    <col min="4" max="16384" width="8.88671875" style="2"/>
  </cols>
  <sheetData>
    <row r="2" spans="2:4" x14ac:dyDescent="0.3">
      <c r="B2" s="70" t="s">
        <v>12</v>
      </c>
      <c r="C2" s="70"/>
    </row>
    <row r="3" spans="2:4" x14ac:dyDescent="0.3">
      <c r="B3" s="15" t="s">
        <v>13</v>
      </c>
      <c r="C3" s="16">
        <v>7.8E-2</v>
      </c>
    </row>
    <row r="4" spans="2:4" x14ac:dyDescent="0.3">
      <c r="B4" s="15" t="s">
        <v>14</v>
      </c>
      <c r="C4" s="16">
        <v>4.8899999999999999E-2</v>
      </c>
    </row>
    <row r="5" spans="2:4" x14ac:dyDescent="0.3">
      <c r="B5" s="68" t="s">
        <v>83</v>
      </c>
      <c r="C5" s="69">
        <f>C3-C4</f>
        <v>2.9100000000000001E-2</v>
      </c>
    </row>
    <row r="6" spans="2:4" x14ac:dyDescent="0.3">
      <c r="B6" s="17" t="s">
        <v>82</v>
      </c>
      <c r="C6" s="12">
        <f>(C3/C4)-1</f>
        <v>0.59509202453987742</v>
      </c>
      <c r="D6" s="2" t="str">
        <f ca="1">_xlfn.FORMULATEXT(C6)</f>
        <v>=(C3/C4)-1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Atividade 1</vt:lpstr>
      <vt:lpstr>Taxa nominal e efetiva</vt:lpstr>
      <vt:lpstr>Atividade 2</vt:lpstr>
      <vt:lpstr>Atividade 3</vt:lpstr>
      <vt:lpstr>Taxa pró-rata</vt:lpstr>
      <vt:lpstr>Atividade 4</vt:lpstr>
      <vt:lpstr>Atividade 5</vt:lpstr>
      <vt:lpstr>Atividade 6</vt:lpstr>
      <vt:lpstr>Atividade 7</vt:lpstr>
      <vt:lpstr>SAC</vt:lpstr>
      <vt:lpstr>Price</vt:lpstr>
      <vt:lpstr>MAJS</vt:lpstr>
      <vt:lpstr>MEJS</vt:lpstr>
      <vt:lpstr>Atividade 8</vt:lpstr>
      <vt:lpstr>Atividade 9</vt:lpstr>
      <vt:lpstr>Atividade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FUMAUX</dc:creator>
  <cp:lastModifiedBy>ANDERSON FUMAUX</cp:lastModifiedBy>
  <dcterms:created xsi:type="dcterms:W3CDTF">2026-07-07T00:36:50Z</dcterms:created>
  <dcterms:modified xsi:type="dcterms:W3CDTF">2026-08-19T20:03:09Z</dcterms:modified>
</cp:coreProperties>
</file>