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a07f16b4e5c3260/Área de Trabalho/ANDERSON/CRC - ES/Perícia Bancária/"/>
    </mc:Choice>
  </mc:AlternateContent>
  <xr:revisionPtr revIDLastSave="190" documentId="13_ncr:1_{11ABFD52-4824-43C1-A07D-3A1E2A5C5683}" xr6:coauthVersionLast="47" xr6:coauthVersionMax="47" xr10:uidLastSave="{EC00D5A6-6E49-4375-B94B-DAF249A88284}"/>
  <bookViews>
    <workbookView xWindow="-108" yWindow="-108" windowWidth="23256" windowHeight="12576" tabRatio="1000" activeTab="6" xr2:uid="{9D050AE7-5D51-44EB-B192-842A94E0D2C0}"/>
  </bookViews>
  <sheets>
    <sheet name="Correção" sheetId="30" r:id="rId1"/>
    <sheet name="Atividade 1" sheetId="26" r:id="rId2"/>
    <sheet name="CET" sheetId="29" r:id="rId3"/>
    <sheet name="Atividade 2" sheetId="31" r:id="rId4"/>
    <sheet name="Série não periódica" sheetId="23" r:id="rId5"/>
    <sheet name="Atividade 3" sheetId="32" r:id="rId6"/>
    <sheet name="Atividade 4" sheetId="3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3" l="1"/>
  <c r="C12" i="33"/>
  <c r="C11" i="33"/>
  <c r="C5" i="33"/>
  <c r="L5" i="32"/>
  <c r="L6" i="32"/>
  <c r="C5" i="32"/>
  <c r="F31" i="32"/>
  <c r="P14" i="23"/>
  <c r="P13" i="23"/>
  <c r="P12" i="23"/>
  <c r="C8" i="23"/>
  <c r="C7" i="23"/>
  <c r="D12" i="23"/>
  <c r="C20" i="31"/>
  <c r="F3" i="29"/>
  <c r="F2" i="29"/>
  <c r="K25" i="26"/>
  <c r="M25" i="26"/>
  <c r="L25" i="26"/>
  <c r="I14" i="26"/>
  <c r="K14" i="26"/>
  <c r="M14" i="26"/>
  <c r="J13" i="26"/>
  <c r="I13" i="26"/>
  <c r="K13" i="26"/>
  <c r="M13" i="26"/>
  <c r="J12" i="26"/>
  <c r="J12" i="30"/>
  <c r="G13" i="30"/>
  <c r="H13" i="30"/>
  <c r="E12" i="30"/>
  <c r="D12" i="30"/>
  <c r="H12" i="30"/>
  <c r="G12" i="30"/>
  <c r="C7" i="30"/>
  <c r="E11" i="30"/>
  <c r="C14" i="33"/>
  <c r="E30" i="32" l="1"/>
  <c r="F30" i="32" s="1"/>
  <c r="D30" i="32"/>
  <c r="H30" i="32" s="1"/>
  <c r="E29" i="32"/>
  <c r="F29" i="32" s="1"/>
  <c r="D29" i="32"/>
  <c r="H29" i="32" s="1"/>
  <c r="F28" i="32"/>
  <c r="E28" i="32"/>
  <c r="D28" i="32"/>
  <c r="H28" i="32" s="1"/>
  <c r="E27" i="32"/>
  <c r="F27" i="32" s="1"/>
  <c r="D27" i="32"/>
  <c r="H27" i="32" s="1"/>
  <c r="E26" i="32"/>
  <c r="F26" i="32" s="1"/>
  <c r="D26" i="32"/>
  <c r="H26" i="32" s="1"/>
  <c r="E25" i="32"/>
  <c r="F25" i="32" s="1"/>
  <c r="D25" i="32"/>
  <c r="H25" i="32" s="1"/>
  <c r="E24" i="32"/>
  <c r="F24" i="32" s="1"/>
  <c r="D24" i="32"/>
  <c r="H24" i="32" s="1"/>
  <c r="E23" i="32"/>
  <c r="F23" i="32" s="1"/>
  <c r="D23" i="32"/>
  <c r="H23" i="32" s="1"/>
  <c r="E22" i="32"/>
  <c r="F22" i="32" s="1"/>
  <c r="D22" i="32"/>
  <c r="H22" i="32" s="1"/>
  <c r="E21" i="32"/>
  <c r="F21" i="32" s="1"/>
  <c r="D21" i="32"/>
  <c r="H21" i="32" s="1"/>
  <c r="E20" i="32"/>
  <c r="F20" i="32" s="1"/>
  <c r="D20" i="32"/>
  <c r="H20" i="32" s="1"/>
  <c r="E19" i="32"/>
  <c r="F19" i="32" s="1"/>
  <c r="D19" i="32"/>
  <c r="H19" i="32" s="1"/>
  <c r="E18" i="32"/>
  <c r="F18" i="32" s="1"/>
  <c r="D18" i="32"/>
  <c r="H18" i="32" s="1"/>
  <c r="E17" i="32"/>
  <c r="F17" i="32" s="1"/>
  <c r="D17" i="32"/>
  <c r="H17" i="32" s="1"/>
  <c r="F16" i="32"/>
  <c r="E16" i="32"/>
  <c r="D16" i="32"/>
  <c r="H16" i="32" s="1"/>
  <c r="E15" i="32"/>
  <c r="F15" i="32" s="1"/>
  <c r="D15" i="32"/>
  <c r="H15" i="32" s="1"/>
  <c r="F14" i="32"/>
  <c r="E14" i="32"/>
  <c r="D14" i="32"/>
  <c r="H14" i="32" s="1"/>
  <c r="E13" i="32"/>
  <c r="F13" i="32" s="1"/>
  <c r="D13" i="32"/>
  <c r="H13" i="32" s="1"/>
  <c r="E12" i="32"/>
  <c r="F12" i="32" s="1"/>
  <c r="D12" i="32"/>
  <c r="H12" i="32" s="1"/>
  <c r="E11" i="32"/>
  <c r="F11" i="32" s="1"/>
  <c r="D11" i="32"/>
  <c r="H11" i="32" s="1"/>
  <c r="G15" i="29"/>
  <c r="G16" i="29"/>
  <c r="G17" i="29"/>
  <c r="G18" i="29"/>
  <c r="G19" i="29"/>
  <c r="G20" i="29"/>
  <c r="G21" i="29"/>
  <c r="G22" i="29"/>
  <c r="G23" i="29"/>
  <c r="G24" i="29"/>
  <c r="G25" i="29"/>
  <c r="G14" i="29"/>
  <c r="G26" i="29" s="1"/>
  <c r="G13" i="29"/>
  <c r="F15" i="29"/>
  <c r="F16" i="29"/>
  <c r="F17" i="29"/>
  <c r="F18" i="29"/>
  <c r="F19" i="29"/>
  <c r="F20" i="29"/>
  <c r="F21" i="29"/>
  <c r="F22" i="29"/>
  <c r="F23" i="29"/>
  <c r="F24" i="29"/>
  <c r="F25" i="29"/>
  <c r="F14" i="29"/>
  <c r="D18" i="31"/>
  <c r="D17" i="31"/>
  <c r="D16" i="31"/>
  <c r="D15" i="31"/>
  <c r="D14" i="31"/>
  <c r="D13" i="31"/>
  <c r="D12" i="31"/>
  <c r="D11" i="31"/>
  <c r="D10" i="31"/>
  <c r="D9" i="31"/>
  <c r="D8" i="31"/>
  <c r="D7" i="31"/>
  <c r="C6" i="31"/>
  <c r="G17" i="32"/>
  <c r="I22" i="32"/>
  <c r="I18" i="32"/>
  <c r="I17" i="32"/>
  <c r="G23" i="32"/>
  <c r="G7" i="31"/>
  <c r="E13" i="31"/>
  <c r="E10" i="31"/>
  <c r="I28" i="32"/>
  <c r="G16" i="32"/>
  <c r="G20" i="32"/>
  <c r="G19" i="31"/>
  <c r="G12" i="31"/>
  <c r="E11" i="31"/>
  <c r="G14" i="31"/>
  <c r="I24" i="32"/>
  <c r="G11" i="32"/>
  <c r="I14" i="32"/>
  <c r="D21" i="31"/>
  <c r="E12" i="31"/>
  <c r="E9" i="31"/>
  <c r="G8" i="31"/>
  <c r="I21" i="32"/>
  <c r="I27" i="32"/>
  <c r="I20" i="32"/>
  <c r="G17" i="31"/>
  <c r="G16" i="31"/>
  <c r="E7" i="31"/>
  <c r="E14" i="31"/>
  <c r="G19" i="32"/>
  <c r="I23" i="32"/>
  <c r="G18" i="32"/>
  <c r="G15" i="31"/>
  <c r="E16" i="31"/>
  <c r="G18" i="31"/>
  <c r="E8" i="31"/>
  <c r="I16" i="32"/>
  <c r="I13" i="32"/>
  <c r="G21" i="32"/>
  <c r="I12" i="32"/>
  <c r="G13" i="31"/>
  <c r="D20" i="31"/>
  <c r="G10" i="31"/>
  <c r="G14" i="32"/>
  <c r="M6" i="32"/>
  <c r="I15" i="32"/>
  <c r="E5" i="32"/>
  <c r="G11" i="31"/>
  <c r="E17" i="31"/>
  <c r="G6" i="31"/>
  <c r="I11" i="32"/>
  <c r="G15" i="32"/>
  <c r="G13" i="32"/>
  <c r="I30" i="32"/>
  <c r="E15" i="31"/>
  <c r="E18" i="31"/>
  <c r="M7" i="32"/>
  <c r="I26" i="32"/>
  <c r="G9" i="31"/>
  <c r="G12" i="32"/>
  <c r="G22" i="32"/>
  <c r="I29" i="32"/>
  <c r="I25" i="32"/>
  <c r="I19" i="32"/>
  <c r="L20" i="32" l="1"/>
  <c r="F14" i="31"/>
  <c r="C21" i="31"/>
  <c r="F17" i="31"/>
  <c r="F15" i="31"/>
  <c r="F13" i="31"/>
  <c r="F11" i="31"/>
  <c r="F9" i="31"/>
  <c r="F7" i="31"/>
  <c r="F12" i="31"/>
  <c r="F16" i="31"/>
  <c r="F8" i="31"/>
  <c r="F18" i="31"/>
  <c r="F10" i="31"/>
  <c r="F6" i="31"/>
  <c r="F19" i="31" l="1"/>
  <c r="L14" i="32"/>
  <c r="L23" i="32"/>
  <c r="L22" i="32"/>
  <c r="L16" i="32"/>
  <c r="L15" i="32"/>
  <c r="L11" i="32"/>
  <c r="L17" i="32"/>
  <c r="L30" i="32"/>
  <c r="L24" i="32"/>
  <c r="L18" i="32"/>
  <c r="L28" i="32"/>
  <c r="L27" i="32"/>
  <c r="L19" i="32"/>
  <c r="L26" i="32"/>
  <c r="L13" i="32"/>
  <c r="L25" i="32"/>
  <c r="L21" i="32"/>
  <c r="L29" i="32"/>
  <c r="L12" i="32"/>
  <c r="L7" i="32" l="1"/>
  <c r="H24" i="30"/>
  <c r="G24" i="30"/>
  <c r="F24" i="30"/>
  <c r="E23" i="30"/>
  <c r="C6" i="30"/>
  <c r="C17" i="30" s="1"/>
  <c r="G11" i="30"/>
  <c r="D11" i="30"/>
  <c r="D13" i="29"/>
  <c r="C5" i="29"/>
  <c r="L14" i="26"/>
  <c r="J14" i="26" s="1"/>
  <c r="K15" i="26"/>
  <c r="L13" i="26"/>
  <c r="I12" i="26"/>
  <c r="K12" i="26"/>
  <c r="H14" i="26"/>
  <c r="H15" i="26"/>
  <c r="H16" i="26"/>
  <c r="H17" i="26"/>
  <c r="H18" i="26"/>
  <c r="H19" i="26"/>
  <c r="H20" i="26"/>
  <c r="H21" i="26"/>
  <c r="H22" i="26"/>
  <c r="H23" i="26"/>
  <c r="H24" i="26"/>
  <c r="H13" i="26"/>
  <c r="D14" i="26"/>
  <c r="D15" i="26"/>
  <c r="D16" i="26"/>
  <c r="D17" i="26"/>
  <c r="D18" i="26"/>
  <c r="D19" i="26"/>
  <c r="D20" i="26"/>
  <c r="D21" i="26"/>
  <c r="D22" i="26"/>
  <c r="D23" i="26"/>
  <c r="D24" i="26"/>
  <c r="D13" i="26"/>
  <c r="C7" i="26"/>
  <c r="E12" i="23"/>
  <c r="O4" i="23"/>
  <c r="M11" i="23"/>
  <c r="I13" i="23"/>
  <c r="I14" i="23"/>
  <c r="I15" i="23"/>
  <c r="I16" i="23"/>
  <c r="I17" i="23"/>
  <c r="I18" i="23"/>
  <c r="I19" i="23"/>
  <c r="I20" i="23"/>
  <c r="I21" i="23"/>
  <c r="I22" i="23"/>
  <c r="I23" i="23"/>
  <c r="D13" i="23"/>
  <c r="D14" i="23"/>
  <c r="D15" i="23"/>
  <c r="D16" i="23"/>
  <c r="D17" i="23"/>
  <c r="D18" i="23"/>
  <c r="D19" i="23"/>
  <c r="D20" i="23"/>
  <c r="D21" i="23"/>
  <c r="D22" i="23"/>
  <c r="D23" i="23"/>
  <c r="Q15" i="23"/>
  <c r="E23" i="26"/>
  <c r="Q17" i="23"/>
  <c r="D8" i="23"/>
  <c r="J12" i="23"/>
  <c r="H17" i="23"/>
  <c r="Q20" i="23"/>
  <c r="J22" i="23"/>
  <c r="Q21" i="23"/>
  <c r="E19" i="26"/>
  <c r="Q19" i="23"/>
  <c r="F21" i="23"/>
  <c r="F14" i="23"/>
  <c r="Q22" i="23"/>
  <c r="Q23" i="23"/>
  <c r="G3" i="29"/>
  <c r="E7" i="26"/>
  <c r="F17" i="23"/>
  <c r="F22" i="23"/>
  <c r="E15" i="26"/>
  <c r="E16" i="26"/>
  <c r="E17" i="26"/>
  <c r="F23" i="23"/>
  <c r="H14" i="23"/>
  <c r="F13" i="23"/>
  <c r="E18" i="26"/>
  <c r="J17" i="23"/>
  <c r="J13" i="23"/>
  <c r="H15" i="23"/>
  <c r="F20" i="23"/>
  <c r="H20" i="23"/>
  <c r="E13" i="26"/>
  <c r="H23" i="23"/>
  <c r="E24" i="26"/>
  <c r="H19" i="23"/>
  <c r="Q13" i="23"/>
  <c r="E22" i="26"/>
  <c r="G2" i="29"/>
  <c r="E21" i="26"/>
  <c r="Q18" i="23"/>
  <c r="E20" i="26"/>
  <c r="J19" i="23"/>
  <c r="F12" i="23"/>
  <c r="J20" i="23"/>
  <c r="F15" i="23"/>
  <c r="H21" i="23"/>
  <c r="J21" i="23"/>
  <c r="H16" i="23"/>
  <c r="J15" i="23"/>
  <c r="H12" i="23"/>
  <c r="H13" i="23"/>
  <c r="E14" i="26"/>
  <c r="H22" i="23"/>
  <c r="Q12" i="23"/>
  <c r="J16" i="23"/>
  <c r="Q16" i="23"/>
  <c r="F19" i="23"/>
  <c r="H18" i="23"/>
  <c r="J23" i="23"/>
  <c r="J18" i="23"/>
  <c r="Q14" i="23"/>
  <c r="J14" i="23"/>
  <c r="F16" i="23"/>
  <c r="F18" i="23"/>
  <c r="C22" i="30" l="1"/>
  <c r="C16" i="30"/>
  <c r="C12" i="30"/>
  <c r="C23" i="30"/>
  <c r="C15" i="30"/>
  <c r="C14" i="30"/>
  <c r="C21" i="30"/>
  <c r="C13" i="30"/>
  <c r="C20" i="30"/>
  <c r="C19" i="30"/>
  <c r="C18" i="30"/>
  <c r="F12" i="30"/>
  <c r="M15" i="26"/>
  <c r="L15" i="26" s="1"/>
  <c r="I15" i="26" s="1"/>
  <c r="J15" i="26" s="1"/>
  <c r="K16" i="26"/>
  <c r="G12" i="23"/>
  <c r="E13" i="23"/>
  <c r="I12" i="23"/>
  <c r="D13" i="30" l="1"/>
  <c r="E13" i="30" s="1"/>
  <c r="I16" i="26"/>
  <c r="J16" i="26" s="1"/>
  <c r="M16" i="26"/>
  <c r="K17" i="26"/>
  <c r="L16" i="26"/>
  <c r="G13" i="23"/>
  <c r="E14" i="23"/>
  <c r="G14" i="30" l="1"/>
  <c r="F13" i="30"/>
  <c r="H14" i="30"/>
  <c r="D14" i="30" s="1"/>
  <c r="E14" i="30" s="1"/>
  <c r="I17" i="26"/>
  <c r="J17" i="26" s="1"/>
  <c r="M17" i="26"/>
  <c r="L17" i="26"/>
  <c r="K18" i="26"/>
  <c r="G14" i="23"/>
  <c r="E15" i="23"/>
  <c r="G15" i="30" l="1"/>
  <c r="F14" i="30"/>
  <c r="H15" i="30"/>
  <c r="D15" i="30" s="1"/>
  <c r="E15" i="30" s="1"/>
  <c r="M18" i="26"/>
  <c r="L18" i="26" s="1"/>
  <c r="I18" i="26" s="1"/>
  <c r="J18" i="26" s="1"/>
  <c r="K19" i="26"/>
  <c r="E16" i="23"/>
  <c r="G15" i="23"/>
  <c r="G16" i="30" l="1"/>
  <c r="F15" i="30"/>
  <c r="H16" i="30"/>
  <c r="D16" i="30" s="1"/>
  <c r="E16" i="30" s="1"/>
  <c r="I19" i="26"/>
  <c r="J19" i="26" s="1"/>
  <c r="M19" i="26"/>
  <c r="K20" i="26"/>
  <c r="L19" i="26"/>
  <c r="E17" i="23"/>
  <c r="G16" i="23"/>
  <c r="G17" i="30" l="1"/>
  <c r="F16" i="30"/>
  <c r="H17" i="30"/>
  <c r="D17" i="30" s="1"/>
  <c r="E17" i="30" s="1"/>
  <c r="M20" i="26"/>
  <c r="L20" i="26"/>
  <c r="I20" i="26" s="1"/>
  <c r="J20" i="26" s="1"/>
  <c r="K21" i="26"/>
  <c r="E18" i="23"/>
  <c r="G17" i="23"/>
  <c r="G18" i="30" l="1"/>
  <c r="F17" i="30"/>
  <c r="H18" i="30"/>
  <c r="D18" i="30" s="1"/>
  <c r="E18" i="30" s="1"/>
  <c r="M21" i="26"/>
  <c r="K22" i="26"/>
  <c r="L21" i="26"/>
  <c r="I21" i="26" s="1"/>
  <c r="J21" i="26" s="1"/>
  <c r="E19" i="23"/>
  <c r="G18" i="23"/>
  <c r="G19" i="30" l="1"/>
  <c r="F18" i="30"/>
  <c r="H19" i="30"/>
  <c r="D19" i="30" s="1"/>
  <c r="E19" i="30" s="1"/>
  <c r="M22" i="26"/>
  <c r="L22" i="26" s="1"/>
  <c r="I22" i="26" s="1"/>
  <c r="J22" i="26" s="1"/>
  <c r="K23" i="26"/>
  <c r="E20" i="23"/>
  <c r="G19" i="23"/>
  <c r="G20" i="30" l="1"/>
  <c r="F19" i="30"/>
  <c r="H20" i="30"/>
  <c r="D20" i="30" s="1"/>
  <c r="E20" i="30" s="1"/>
  <c r="M23" i="26"/>
  <c r="L23" i="26"/>
  <c r="I23" i="26" s="1"/>
  <c r="J23" i="26" s="1"/>
  <c r="K24" i="26"/>
  <c r="E21" i="23"/>
  <c r="G20" i="23"/>
  <c r="G21" i="30" l="1"/>
  <c r="F20" i="30"/>
  <c r="H21" i="30"/>
  <c r="D21" i="30" s="1"/>
  <c r="E21" i="30" s="1"/>
  <c r="I24" i="26"/>
  <c r="J24" i="26" s="1"/>
  <c r="M24" i="26"/>
  <c r="L24" i="26"/>
  <c r="E22" i="23"/>
  <c r="G21" i="23"/>
  <c r="G22" i="30" l="1"/>
  <c r="F21" i="30"/>
  <c r="H22" i="30"/>
  <c r="D22" i="30" s="1"/>
  <c r="E22" i="30" s="1"/>
  <c r="D23" i="29"/>
  <c r="D15" i="29"/>
  <c r="D22" i="29"/>
  <c r="D14" i="29"/>
  <c r="D17" i="29"/>
  <c r="D21" i="29"/>
  <c r="D20" i="29"/>
  <c r="D19" i="29"/>
  <c r="D24" i="29"/>
  <c r="D18" i="29"/>
  <c r="D25" i="29"/>
  <c r="D16" i="29"/>
  <c r="E23" i="23"/>
  <c r="G23" i="23" s="1"/>
  <c r="G22" i="23"/>
  <c r="G23" i="30" l="1"/>
  <c r="F22" i="30"/>
  <c r="H23" i="30"/>
  <c r="D23" i="30" s="1"/>
  <c r="N19" i="23"/>
  <c r="N12" i="23"/>
  <c r="O12" i="23" s="1"/>
  <c r="M12" i="23" s="1"/>
  <c r="N14" i="23"/>
  <c r="N15" i="23"/>
  <c r="N16" i="23"/>
  <c r="N18" i="23"/>
  <c r="N13" i="23"/>
  <c r="N20" i="23"/>
  <c r="N22" i="23"/>
  <c r="N21" i="23"/>
  <c r="N23" i="23"/>
  <c r="N17" i="23"/>
  <c r="F23" i="30" l="1"/>
  <c r="O13" i="23"/>
  <c r="M13" i="23" s="1"/>
  <c r="O14" i="23" s="1"/>
  <c r="M14" i="23" s="1"/>
  <c r="P15" i="23" s="1"/>
  <c r="O15" i="23" s="1"/>
  <c r="M15" i="23" s="1"/>
  <c r="P16" i="23" s="1"/>
  <c r="O16" i="23" s="1"/>
  <c r="M16" i="23" s="1"/>
  <c r="P17" i="23" s="1"/>
  <c r="O17" i="23" s="1"/>
  <c r="M17" i="23" s="1"/>
  <c r="P18" i="23" s="1"/>
  <c r="O18" i="23" s="1"/>
  <c r="M18" i="23" s="1"/>
  <c r="P19" i="23" s="1"/>
  <c r="O19" i="23" s="1"/>
  <c r="M19" i="23" s="1"/>
  <c r="P20" i="23" s="1"/>
  <c r="O20" i="23" s="1"/>
  <c r="M20" i="23" s="1"/>
  <c r="P21" i="23" s="1"/>
  <c r="O21" i="23" s="1"/>
  <c r="M21" i="23" s="1"/>
  <c r="P22" i="23" s="1"/>
  <c r="O22" i="23" s="1"/>
  <c r="M22" i="23" s="1"/>
  <c r="P23" i="23" s="1"/>
  <c r="O23" i="23" s="1"/>
  <c r="M23" i="23" s="1"/>
</calcChain>
</file>

<file path=xl/sharedStrings.xml><?xml version="1.0" encoding="utf-8"?>
<sst xmlns="http://schemas.openxmlformats.org/spreadsheetml/2006/main" count="123" uniqueCount="72">
  <si>
    <t>Valor presente</t>
  </si>
  <si>
    <t>a.m.</t>
  </si>
  <si>
    <t>Período</t>
  </si>
  <si>
    <t>meses</t>
  </si>
  <si>
    <t>Juros</t>
  </si>
  <si>
    <t>Prazo</t>
  </si>
  <si>
    <t>Taxa de juros</t>
  </si>
  <si>
    <t>Período 0</t>
  </si>
  <si>
    <t>Fluxo</t>
  </si>
  <si>
    <t>Parcela</t>
  </si>
  <si>
    <t>Vencimento</t>
  </si>
  <si>
    <t>Principal</t>
  </si>
  <si>
    <t>Data-base</t>
  </si>
  <si>
    <t>VP</t>
  </si>
  <si>
    <t>Taxa efetiva ano</t>
  </si>
  <si>
    <t>Dias corridos</t>
  </si>
  <si>
    <t>Prestação</t>
  </si>
  <si>
    <t>Saldo devedor</t>
  </si>
  <si>
    <t>Amortização</t>
  </si>
  <si>
    <t>Financiamento</t>
  </si>
  <si>
    <t>Data da liberação</t>
  </si>
  <si>
    <t>Dias de acerto</t>
  </si>
  <si>
    <t>Valor financiado</t>
  </si>
  <si>
    <t>Qtd de parcelas</t>
  </si>
  <si>
    <t>Data da operação</t>
  </si>
  <si>
    <t>Parcela 1</t>
  </si>
  <si>
    <t>Dias</t>
  </si>
  <si>
    <t>Dias acum</t>
  </si>
  <si>
    <t>Fator de VP = 1 / (1 + i)^n</t>
  </si>
  <si>
    <t>Fator de VP</t>
  </si>
  <si>
    <t>Fator de VP = 1 / ((1 + 0,03)^(Dias acum / 30))</t>
  </si>
  <si>
    <t>Juros = ((1 + 0,03)^(Dias / 30)) - 1</t>
  </si>
  <si>
    <t>Soma dos fatores</t>
  </si>
  <si>
    <t>Prestação série periódica</t>
  </si>
  <si>
    <t>SÉRIE NÃO PERIÓDICA</t>
  </si>
  <si>
    <t>Primeira parcela</t>
  </si>
  <si>
    <t>Número de parcelas</t>
  </si>
  <si>
    <t>Prestação-base</t>
  </si>
  <si>
    <t>Correção prestação</t>
  </si>
  <si>
    <t>IPCA</t>
  </si>
  <si>
    <t>ÍNDICE IPCA</t>
  </si>
  <si>
    <t>Mês</t>
  </si>
  <si>
    <t>Índice (%)</t>
  </si>
  <si>
    <t>Fator de correção</t>
  </si>
  <si>
    <t>Data</t>
  </si>
  <si>
    <t>SD Atualizado</t>
  </si>
  <si>
    <t>Saldo Devedor</t>
  </si>
  <si>
    <t>CORREÇÃO MONETÁRIA</t>
  </si>
  <si>
    <t>IOF</t>
  </si>
  <si>
    <t>Seguro</t>
  </si>
  <si>
    <t>CET anual</t>
  </si>
  <si>
    <t>CET mensal</t>
  </si>
  <si>
    <t xml:space="preserve">Amortização </t>
  </si>
  <si>
    <t>CORREÇÃO MONETÁRIA - SAC</t>
  </si>
  <si>
    <t>Cálculo do CET</t>
  </si>
  <si>
    <t>Valor liberado</t>
  </si>
  <si>
    <t>Fluxo (R$)</t>
  </si>
  <si>
    <t>Dias acumulados</t>
  </si>
  <si>
    <t xml:space="preserve">CET mensal </t>
  </si>
  <si>
    <t>i</t>
  </si>
  <si>
    <t>Número Parcelas</t>
  </si>
  <si>
    <t>n</t>
  </si>
  <si>
    <t>PGTO</t>
  </si>
  <si>
    <t>CET mês</t>
  </si>
  <si>
    <t>Taxa de juros (%)</t>
  </si>
  <si>
    <t>Fluxo de caixa</t>
  </si>
  <si>
    <t xml:space="preserve">Data da obtenção </t>
  </si>
  <si>
    <t>(Empréstimo de 17.000 + IOF 573,99)</t>
  </si>
  <si>
    <t>Juro de acerto (%)</t>
  </si>
  <si>
    <t>Juro de acerto (R$)</t>
  </si>
  <si>
    <t>Novo principal</t>
  </si>
  <si>
    <t>(Empréstimo + IOF + Acerto)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</si>
</sst>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_);[Red]\(&quot;R$&quot;\ #,##0.00\)"/>
    <numFmt numFmtId="164" formatCode="&quot;R$&quot;\ #,##0.00"/>
    <numFmt numFmtId="165" formatCode="0.000%"/>
    <numFmt numFmtId="166" formatCode="0.0000%"/>
    <numFmt numFmtId="168" formatCode="0.000"/>
    <numFmt numFmtId="169" formatCode="&quot;R$ &quot;#,##0.00"/>
    <numFmt numFmtId="170" formatCode="&quot;R$&quot;\ #,##0.00;[Red]\-&quot;R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Aptos Narrow"/>
      <family val="2"/>
      <scheme val="minor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9E6"/>
        <bgColor rgb="FFFFFFFF"/>
      </patternFill>
    </fill>
    <fill>
      <patternFill patternType="solid">
        <fgColor rgb="FF1E2761"/>
        <bgColor rgb="FF333399"/>
      </patternFill>
    </fill>
    <fill>
      <patternFill patternType="solid">
        <fgColor theme="0"/>
        <bgColor rgb="FFFFFFFF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8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2" borderId="0" xfId="0" applyFont="1" applyFill="1"/>
    <xf numFmtId="8" fontId="0" fillId="0" borderId="0" xfId="0" applyNumberFormat="1" applyAlignment="1">
      <alignment horizontal="center"/>
    </xf>
    <xf numFmtId="0" fontId="0" fillId="0" borderId="1" xfId="0" applyBorder="1"/>
    <xf numFmtId="164" fontId="0" fillId="2" borderId="1" xfId="0" applyNumberFormat="1" applyFill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7" fontId="0" fillId="0" borderId="1" xfId="0" applyNumberFormat="1" applyBorder="1" applyAlignment="1">
      <alignment horizontal="center"/>
    </xf>
    <xf numFmtId="2" fontId="4" fillId="0" borderId="1" xfId="2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1" xfId="0" applyNumberForma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169" fontId="8" fillId="4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/>
    </xf>
    <xf numFmtId="169" fontId="8" fillId="6" borderId="1" xfId="0" applyNumberFormat="1" applyFont="1" applyFill="1" applyBorder="1" applyAlignment="1">
      <alignment horizontal="center"/>
    </xf>
    <xf numFmtId="0" fontId="8" fillId="0" borderId="1" xfId="0" applyFont="1" applyBorder="1"/>
    <xf numFmtId="16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0" fontId="8" fillId="4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9" fontId="8" fillId="0" borderId="0" xfId="0" applyNumberFormat="1" applyFont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6" fillId="7" borderId="1" xfId="0" applyFont="1" applyFill="1" applyBorder="1"/>
    <xf numFmtId="0" fontId="6" fillId="0" borderId="0" xfId="0" applyFont="1"/>
    <xf numFmtId="14" fontId="8" fillId="0" borderId="0" xfId="0" applyNumberFormat="1" applyFont="1"/>
    <xf numFmtId="0" fontId="8" fillId="0" borderId="0" xfId="0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4" fontId="8" fillId="0" borderId="0" xfId="0" applyNumberFormat="1" applyFont="1"/>
    <xf numFmtId="170" fontId="7" fillId="0" borderId="0" xfId="0" applyNumberFormat="1" applyFont="1" applyAlignment="1">
      <alignment horizontal="center"/>
    </xf>
    <xf numFmtId="0" fontId="5" fillId="7" borderId="0" xfId="0" applyFont="1" applyFill="1"/>
    <xf numFmtId="0" fontId="0" fillId="0" borderId="0" xfId="0" applyAlignment="1">
      <alignment horizontal="center"/>
    </xf>
    <xf numFmtId="0" fontId="5" fillId="7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0" borderId="0" xfId="0" applyNumberFormat="1"/>
    <xf numFmtId="169" fontId="11" fillId="6" borderId="1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</cellXfs>
  <cellStyles count="3">
    <cellStyle name="Normal" xfId="0" builtinId="0"/>
    <cellStyle name="Normal_ipca_201707SerieHist" xfId="2" xr:uid="{D6ADC9CB-23E1-46BD-9FA9-B9C5177EAD2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7C1D-AB52-4A4F-8083-E28E876ED0E3}">
  <dimension ref="B2:J24"/>
  <sheetViews>
    <sheetView zoomScale="140" zoomScaleNormal="140" workbookViewId="0">
      <selection activeCell="A5" sqref="A5"/>
    </sheetView>
  </sheetViews>
  <sheetFormatPr defaultRowHeight="14.4" x14ac:dyDescent="0.3"/>
  <cols>
    <col min="2" max="2" width="17.6640625" bestFit="1" customWidth="1"/>
    <col min="3" max="3" width="16.109375" bestFit="1" customWidth="1"/>
    <col min="4" max="4" width="16.5546875" customWidth="1"/>
    <col min="5" max="5" width="19.5546875" bestFit="1" customWidth="1"/>
    <col min="6" max="11" width="17.77734375" customWidth="1"/>
  </cols>
  <sheetData>
    <row r="2" spans="2:10" x14ac:dyDescent="0.3">
      <c r="B2" t="s">
        <v>11</v>
      </c>
      <c r="C2" s="3">
        <v>60000</v>
      </c>
    </row>
    <row r="3" spans="2:10" x14ac:dyDescent="0.3">
      <c r="B3" t="s">
        <v>6</v>
      </c>
      <c r="C3" s="5">
        <v>1.2E-2</v>
      </c>
      <c r="D3" s="2" t="s">
        <v>1</v>
      </c>
    </row>
    <row r="4" spans="2:10" x14ac:dyDescent="0.3">
      <c r="B4" t="s">
        <v>36</v>
      </c>
      <c r="C4" s="2">
        <v>12</v>
      </c>
    </row>
    <row r="5" spans="2:10" x14ac:dyDescent="0.3">
      <c r="B5" t="s">
        <v>38</v>
      </c>
      <c r="C5" s="5">
        <v>4.0000000000000001E-3</v>
      </c>
    </row>
    <row r="6" spans="2:10" x14ac:dyDescent="0.3">
      <c r="B6" t="s">
        <v>43</v>
      </c>
      <c r="C6" s="24">
        <f>(1+C5)</f>
        <v>1.004</v>
      </c>
    </row>
    <row r="7" spans="2:10" x14ac:dyDescent="0.3">
      <c r="B7" t="s">
        <v>52</v>
      </c>
      <c r="C7" s="3">
        <f>C2/C4</f>
        <v>5000</v>
      </c>
    </row>
    <row r="9" spans="2:10" x14ac:dyDescent="0.3">
      <c r="B9" s="53" t="s">
        <v>53</v>
      </c>
      <c r="C9" s="53"/>
      <c r="D9" s="53"/>
      <c r="E9" s="53"/>
      <c r="F9" s="53"/>
      <c r="G9" s="53"/>
      <c r="H9" s="53"/>
    </row>
    <row r="10" spans="2:10" x14ac:dyDescent="0.3">
      <c r="B10" s="37" t="s">
        <v>41</v>
      </c>
      <c r="C10" s="37" t="s">
        <v>43</v>
      </c>
      <c r="D10" s="37" t="s">
        <v>46</v>
      </c>
      <c r="E10" s="37" t="s">
        <v>45</v>
      </c>
      <c r="F10" s="37" t="s">
        <v>16</v>
      </c>
      <c r="G10" s="37" t="s">
        <v>18</v>
      </c>
      <c r="H10" s="37" t="s">
        <v>4</v>
      </c>
    </row>
    <row r="11" spans="2:10" x14ac:dyDescent="0.3">
      <c r="B11" s="8">
        <v>0</v>
      </c>
      <c r="C11" s="17"/>
      <c r="D11" s="10">
        <f>C2</f>
        <v>60000</v>
      </c>
      <c r="E11" s="10">
        <f>D11*C12</f>
        <v>60240</v>
      </c>
      <c r="F11" s="12"/>
      <c r="G11" s="10">
        <f>C7</f>
        <v>5000</v>
      </c>
      <c r="H11" s="17"/>
    </row>
    <row r="12" spans="2:10" x14ac:dyDescent="0.3">
      <c r="B12" s="8">
        <v>1</v>
      </c>
      <c r="C12" s="25">
        <f>$C$6</f>
        <v>1.004</v>
      </c>
      <c r="D12" s="10">
        <f>E11-G12</f>
        <v>55220</v>
      </c>
      <c r="E12" s="10">
        <f>D12*C13</f>
        <v>55440.88</v>
      </c>
      <c r="F12" s="12">
        <f>G12+H12</f>
        <v>5742.88</v>
      </c>
      <c r="G12" s="12">
        <f>G11*C12</f>
        <v>5020</v>
      </c>
      <c r="H12" s="10">
        <f>$C$3*E11</f>
        <v>722.88</v>
      </c>
      <c r="I12">
        <v>500</v>
      </c>
      <c r="J12" s="56">
        <f>H12-I12</f>
        <v>222.88</v>
      </c>
    </row>
    <row r="13" spans="2:10" x14ac:dyDescent="0.3">
      <c r="B13" s="8">
        <v>2</v>
      </c>
      <c r="C13" s="25">
        <f t="shared" ref="C13:C23" si="0">$C$6</f>
        <v>1.004</v>
      </c>
      <c r="D13" s="10">
        <f t="shared" ref="D13:D23" si="1">E12-G13</f>
        <v>50400.799999999996</v>
      </c>
      <c r="E13" s="10">
        <f t="shared" ref="E11:E23" si="2">D13*C14</f>
        <v>50602.403199999993</v>
      </c>
      <c r="F13" s="12">
        <f t="shared" ref="F13:F23" si="3">G13+H13</f>
        <v>5705.3705600000003</v>
      </c>
      <c r="G13" s="12">
        <f>G12*C13</f>
        <v>5040.08</v>
      </c>
      <c r="H13" s="10">
        <f>$C$3*E12</f>
        <v>665.29056000000003</v>
      </c>
    </row>
    <row r="14" spans="2:10" x14ac:dyDescent="0.3">
      <c r="B14" s="8">
        <v>3</v>
      </c>
      <c r="C14" s="25">
        <f t="shared" si="0"/>
        <v>1.004</v>
      </c>
      <c r="D14" s="10">
        <f t="shared" si="1"/>
        <v>45542.162879999996</v>
      </c>
      <c r="E14" s="10">
        <f t="shared" si="2"/>
        <v>45724.331531519994</v>
      </c>
      <c r="F14" s="12">
        <f t="shared" si="3"/>
        <v>5667.4691584000002</v>
      </c>
      <c r="G14" s="12">
        <f t="shared" ref="G13:G23" si="4">G13*C14</f>
        <v>5060.2403199999999</v>
      </c>
      <c r="H14" s="10">
        <f t="shared" ref="H13:H23" si="5">$C$3*E13</f>
        <v>607.22883839999997</v>
      </c>
    </row>
    <row r="15" spans="2:10" x14ac:dyDescent="0.3">
      <c r="B15" s="8">
        <v>4</v>
      </c>
      <c r="C15" s="25">
        <f t="shared" si="0"/>
        <v>1.004</v>
      </c>
      <c r="D15" s="10">
        <f t="shared" si="1"/>
        <v>40643.850250239993</v>
      </c>
      <c r="E15" s="10">
        <f t="shared" si="2"/>
        <v>40806.425651240956</v>
      </c>
      <c r="F15" s="12">
        <f t="shared" si="3"/>
        <v>5629.1732596582397</v>
      </c>
      <c r="G15" s="12">
        <f t="shared" si="4"/>
        <v>5080.4812812800001</v>
      </c>
      <c r="H15" s="10">
        <f t="shared" si="5"/>
        <v>548.69197837823992</v>
      </c>
    </row>
    <row r="16" spans="2:10" x14ac:dyDescent="0.3">
      <c r="B16" s="8">
        <v>5</v>
      </c>
      <c r="C16" s="25">
        <f t="shared" si="0"/>
        <v>1.004</v>
      </c>
      <c r="D16" s="10">
        <f t="shared" si="1"/>
        <v>35705.622444835833</v>
      </c>
      <c r="E16" s="10">
        <f t="shared" si="2"/>
        <v>35848.444934615174</v>
      </c>
      <c r="F16" s="12">
        <f t="shared" si="3"/>
        <v>5590.4803142200117</v>
      </c>
      <c r="G16" s="12">
        <f t="shared" si="4"/>
        <v>5100.8032064051204</v>
      </c>
      <c r="H16" s="10">
        <f t="shared" si="5"/>
        <v>489.67710781489149</v>
      </c>
    </row>
    <row r="17" spans="2:8" x14ac:dyDescent="0.3">
      <c r="B17" s="8">
        <v>6</v>
      </c>
      <c r="C17" s="25">
        <f t="shared" si="0"/>
        <v>1.004</v>
      </c>
      <c r="D17" s="10">
        <f t="shared" si="1"/>
        <v>30727.238515384433</v>
      </c>
      <c r="E17" s="10">
        <f t="shared" si="2"/>
        <v>30850.147469445972</v>
      </c>
      <c r="F17" s="12">
        <f t="shared" si="3"/>
        <v>5551.3877584461225</v>
      </c>
      <c r="G17" s="12">
        <f t="shared" si="4"/>
        <v>5121.2064192307407</v>
      </c>
      <c r="H17" s="10">
        <f t="shared" si="5"/>
        <v>430.18133921538208</v>
      </c>
    </row>
    <row r="18" spans="2:8" x14ac:dyDescent="0.3">
      <c r="B18" s="8">
        <v>7</v>
      </c>
      <c r="C18" s="25">
        <f t="shared" si="0"/>
        <v>1.004</v>
      </c>
      <c r="D18" s="10">
        <f t="shared" si="1"/>
        <v>25708.456224538309</v>
      </c>
      <c r="E18" s="10">
        <f t="shared" si="2"/>
        <v>25811.290049436462</v>
      </c>
      <c r="F18" s="12">
        <f t="shared" si="3"/>
        <v>5511.893014541015</v>
      </c>
      <c r="G18" s="12">
        <f t="shared" si="4"/>
        <v>5141.6912449076635</v>
      </c>
      <c r="H18" s="10">
        <f t="shared" si="5"/>
        <v>370.20176963335166</v>
      </c>
    </row>
    <row r="19" spans="2:8" x14ac:dyDescent="0.3">
      <c r="B19" s="8">
        <v>8</v>
      </c>
      <c r="C19" s="25">
        <f t="shared" si="0"/>
        <v>1.004</v>
      </c>
      <c r="D19" s="10">
        <f t="shared" si="1"/>
        <v>20649.032039549169</v>
      </c>
      <c r="E19" s="10">
        <f t="shared" si="2"/>
        <v>20731.628167707368</v>
      </c>
      <c r="F19" s="12">
        <f t="shared" si="3"/>
        <v>5471.9934904805314</v>
      </c>
      <c r="G19" s="12">
        <f t="shared" si="4"/>
        <v>5162.2580098872941</v>
      </c>
      <c r="H19" s="10">
        <f t="shared" si="5"/>
        <v>309.73548059323753</v>
      </c>
    </row>
    <row r="20" spans="2:8" x14ac:dyDescent="0.3">
      <c r="B20" s="8">
        <v>9</v>
      </c>
      <c r="C20" s="25">
        <f t="shared" si="0"/>
        <v>1.004</v>
      </c>
      <c r="D20" s="10">
        <f t="shared" si="1"/>
        <v>15548.721125780525</v>
      </c>
      <c r="E20" s="10">
        <f t="shared" si="2"/>
        <v>15610.916010283647</v>
      </c>
      <c r="F20" s="12">
        <f t="shared" si="3"/>
        <v>5431.6865799393318</v>
      </c>
      <c r="G20" s="12">
        <f t="shared" si="4"/>
        <v>5182.9070419268437</v>
      </c>
      <c r="H20" s="10">
        <f t="shared" si="5"/>
        <v>248.77953801248842</v>
      </c>
    </row>
    <row r="21" spans="2:8" x14ac:dyDescent="0.3">
      <c r="B21" s="8">
        <v>10</v>
      </c>
      <c r="C21" s="25">
        <f t="shared" si="0"/>
        <v>1.004</v>
      </c>
      <c r="D21" s="10">
        <f t="shared" si="1"/>
        <v>10407.277340189095</v>
      </c>
      <c r="E21" s="10">
        <f t="shared" si="2"/>
        <v>10448.906449549851</v>
      </c>
      <c r="F21" s="12">
        <f t="shared" si="3"/>
        <v>5390.9696622179554</v>
      </c>
      <c r="G21" s="12">
        <f t="shared" si="4"/>
        <v>5203.6386700945513</v>
      </c>
      <c r="H21" s="10">
        <f t="shared" si="5"/>
        <v>187.33099212340377</v>
      </c>
    </row>
    <row r="22" spans="2:8" x14ac:dyDescent="0.3">
      <c r="B22" s="8">
        <v>11</v>
      </c>
      <c r="C22" s="25">
        <f t="shared" si="0"/>
        <v>1.004</v>
      </c>
      <c r="D22" s="10">
        <f t="shared" si="1"/>
        <v>5224.4532247749221</v>
      </c>
      <c r="E22" s="10">
        <f t="shared" si="2"/>
        <v>5245.3510376740214</v>
      </c>
      <c r="F22" s="12">
        <f t="shared" si="3"/>
        <v>5349.8401021695272</v>
      </c>
      <c r="G22" s="12">
        <f t="shared" si="4"/>
        <v>5224.4532247749294</v>
      </c>
      <c r="H22" s="10">
        <f t="shared" si="5"/>
        <v>125.38687739459822</v>
      </c>
    </row>
    <row r="23" spans="2:8" x14ac:dyDescent="0.3">
      <c r="B23" s="8">
        <v>12</v>
      </c>
      <c r="C23" s="25">
        <f t="shared" si="0"/>
        <v>1.004</v>
      </c>
      <c r="D23" s="18">
        <f t="shared" si="1"/>
        <v>-7.2759576141834259E-12</v>
      </c>
      <c r="E23" s="10">
        <f t="shared" si="2"/>
        <v>0</v>
      </c>
      <c r="F23" s="12">
        <f t="shared" si="3"/>
        <v>5308.295250126117</v>
      </c>
      <c r="G23" s="12">
        <f t="shared" si="4"/>
        <v>5245.3510376740287</v>
      </c>
      <c r="H23" s="10">
        <f t="shared" si="5"/>
        <v>62.944212452088259</v>
      </c>
    </row>
    <row r="24" spans="2:8" x14ac:dyDescent="0.3">
      <c r="F24" s="13">
        <f>SUM(F12:F23)</f>
        <v>66351.439150198858</v>
      </c>
      <c r="G24" s="13">
        <f>SUM(G12:G23)</f>
        <v>61583.110456181181</v>
      </c>
      <c r="H24" s="13">
        <f>SUM(H12:H23)</f>
        <v>4768.3286940176804</v>
      </c>
    </row>
  </sheetData>
  <mergeCells count="1">
    <mergeCell ref="B9:H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7000-5342-4D46-96FE-96E1669912D9}">
  <dimension ref="B2:M25"/>
  <sheetViews>
    <sheetView zoomScale="140" zoomScaleNormal="140" workbookViewId="0">
      <selection activeCell="E7" sqref="E7"/>
    </sheetView>
  </sheetViews>
  <sheetFormatPr defaultRowHeight="14.4" x14ac:dyDescent="0.3"/>
  <cols>
    <col min="2" max="2" width="17.6640625" bestFit="1" customWidth="1"/>
    <col min="3" max="3" width="13.33203125" customWidth="1"/>
    <col min="4" max="4" width="16.5546875" customWidth="1"/>
    <col min="5" max="5" width="19.5546875" bestFit="1" customWidth="1"/>
    <col min="6" max="13" width="17.77734375" customWidth="1"/>
  </cols>
  <sheetData>
    <row r="2" spans="2:13" x14ac:dyDescent="0.3">
      <c r="B2" t="s">
        <v>11</v>
      </c>
      <c r="C2" s="3">
        <v>15000</v>
      </c>
    </row>
    <row r="3" spans="2:13" x14ac:dyDescent="0.3">
      <c r="B3" t="s">
        <v>6</v>
      </c>
      <c r="C3" s="5">
        <v>6.4999999999999997E-3</v>
      </c>
      <c r="D3" s="2" t="s">
        <v>1</v>
      </c>
    </row>
    <row r="4" spans="2:13" x14ac:dyDescent="0.3">
      <c r="B4" t="s">
        <v>20</v>
      </c>
      <c r="C4" s="14">
        <v>44491</v>
      </c>
    </row>
    <row r="5" spans="2:13" x14ac:dyDescent="0.3">
      <c r="B5" t="s">
        <v>35</v>
      </c>
      <c r="C5" s="14">
        <v>44522</v>
      </c>
    </row>
    <row r="6" spans="2:13" x14ac:dyDescent="0.3">
      <c r="B6" t="s">
        <v>36</v>
      </c>
      <c r="C6" s="2">
        <v>12</v>
      </c>
    </row>
    <row r="7" spans="2:13" x14ac:dyDescent="0.3">
      <c r="B7" t="s">
        <v>37</v>
      </c>
      <c r="C7" s="16">
        <f>PMT(C3,C6,C2)</f>
        <v>-1303.43974876638</v>
      </c>
      <c r="D7" t="s">
        <v>7</v>
      </c>
      <c r="E7" s="2" t="str">
        <f ca="1">_xlfn.FORMULATEXT(C7)</f>
        <v>=PGTO(C3;C6;C2)</v>
      </c>
    </row>
    <row r="8" spans="2:13" x14ac:dyDescent="0.3">
      <c r="B8" t="s">
        <v>38</v>
      </c>
      <c r="C8" s="2" t="s">
        <v>39</v>
      </c>
    </row>
    <row r="10" spans="2:13" x14ac:dyDescent="0.3">
      <c r="F10" s="53" t="s">
        <v>47</v>
      </c>
      <c r="G10" s="53"/>
      <c r="H10" s="53"/>
      <c r="I10" s="53"/>
      <c r="J10" s="53"/>
      <c r="K10" s="53"/>
      <c r="L10" s="53"/>
      <c r="M10" s="53"/>
    </row>
    <row r="11" spans="2:13" x14ac:dyDescent="0.3">
      <c r="B11" s="53" t="s">
        <v>40</v>
      </c>
      <c r="C11" s="53"/>
      <c r="D11" s="53"/>
      <c r="F11" s="37" t="s">
        <v>2</v>
      </c>
      <c r="G11" s="37" t="s">
        <v>44</v>
      </c>
      <c r="H11" s="37" t="s">
        <v>43</v>
      </c>
      <c r="I11" s="37" t="s">
        <v>46</v>
      </c>
      <c r="J11" s="37" t="s">
        <v>45</v>
      </c>
      <c r="K11" s="37" t="s">
        <v>16</v>
      </c>
      <c r="L11" s="37" t="s">
        <v>18</v>
      </c>
      <c r="M11" s="37" t="s">
        <v>4</v>
      </c>
    </row>
    <row r="12" spans="2:13" x14ac:dyDescent="0.3">
      <c r="B12" s="9" t="s">
        <v>41</v>
      </c>
      <c r="C12" s="9" t="s">
        <v>42</v>
      </c>
      <c r="D12" s="9" t="s">
        <v>43</v>
      </c>
      <c r="F12" s="8">
        <v>0</v>
      </c>
      <c r="G12" s="11">
        <v>44491</v>
      </c>
      <c r="H12" s="17"/>
      <c r="I12" s="10">
        <f>C2</f>
        <v>15000</v>
      </c>
      <c r="J12" s="10">
        <f>I12*H13</f>
        <v>15187.5</v>
      </c>
      <c r="K12" s="12">
        <f>-C7</f>
        <v>1303.43974876638</v>
      </c>
      <c r="L12" s="17"/>
      <c r="M12" s="17"/>
    </row>
    <row r="13" spans="2:13" x14ac:dyDescent="0.3">
      <c r="B13" s="21">
        <v>44470</v>
      </c>
      <c r="C13" s="22">
        <v>1.25</v>
      </c>
      <c r="D13" s="8">
        <f>(C13/100)+1</f>
        <v>1.0125</v>
      </c>
      <c r="E13" t="str">
        <f ca="1">_xlfn.FORMULATEXT(D13)</f>
        <v>=(C13/100)+1</v>
      </c>
      <c r="F13" s="8">
        <v>1</v>
      </c>
      <c r="G13" s="11">
        <v>44522</v>
      </c>
      <c r="H13" s="8">
        <f>D13</f>
        <v>1.0125</v>
      </c>
      <c r="I13" s="10">
        <f>J12-L13</f>
        <v>13966.486004374041</v>
      </c>
      <c r="J13" s="10">
        <f>I13*H14</f>
        <v>14099.167621415596</v>
      </c>
      <c r="K13" s="12">
        <f>K12*H13</f>
        <v>1319.7327456259598</v>
      </c>
      <c r="L13" s="12">
        <f>K13-M13</f>
        <v>1221.0139956259598</v>
      </c>
      <c r="M13" s="10">
        <f>$C$3*J12</f>
        <v>98.71875</v>
      </c>
    </row>
    <row r="14" spans="2:13" x14ac:dyDescent="0.3">
      <c r="B14" s="21">
        <v>44501</v>
      </c>
      <c r="C14" s="22">
        <v>0.95</v>
      </c>
      <c r="D14" s="8">
        <f t="shared" ref="D14:D24" si="0">(C14/100)+1</f>
        <v>1.0095000000000001</v>
      </c>
      <c r="E14" t="str">
        <f t="shared" ref="E14:E24" ca="1" si="1">_xlfn.FORMULATEXT(D14)</f>
        <v>=(C14/100)+1</v>
      </c>
      <c r="F14" s="8">
        <v>2</v>
      </c>
      <c r="G14" s="11">
        <v>44552</v>
      </c>
      <c r="H14" s="8">
        <f t="shared" ref="H14:H24" si="2">D14</f>
        <v>1.0095000000000001</v>
      </c>
      <c r="I14" s="10">
        <f>J13-L14</f>
        <v>12858.542004245392</v>
      </c>
      <c r="J14" s="10">
        <f t="shared" ref="J14:J24" si="3">I14*H15</f>
        <v>12952.409360876383</v>
      </c>
      <c r="K14" s="12">
        <f>K13*H14</f>
        <v>1332.2702067094065</v>
      </c>
      <c r="L14" s="12">
        <f t="shared" ref="L14:L24" si="4">K14-M14</f>
        <v>1240.625617170205</v>
      </c>
      <c r="M14" s="10">
        <f>$C$3*J13</f>
        <v>91.644589539201363</v>
      </c>
    </row>
    <row r="15" spans="2:13" x14ac:dyDescent="0.3">
      <c r="B15" s="21">
        <v>44531</v>
      </c>
      <c r="C15" s="22">
        <v>0.73</v>
      </c>
      <c r="D15" s="8">
        <f t="shared" si="0"/>
        <v>1.0073000000000001</v>
      </c>
      <c r="E15" t="str">
        <f t="shared" ca="1" si="1"/>
        <v>=(C15/100)+1</v>
      </c>
      <c r="F15" s="8">
        <v>3</v>
      </c>
      <c r="G15" s="11">
        <v>44583</v>
      </c>
      <c r="H15" s="8">
        <f t="shared" si="2"/>
        <v>1.0073000000000001</v>
      </c>
      <c r="I15" s="10">
        <f t="shared" ref="I14:I24" si="5">J14-L15</f>
        <v>11694.604242503694</v>
      </c>
      <c r="J15" s="10">
        <f t="shared" si="3"/>
        <v>11757.755105413215</v>
      </c>
      <c r="K15" s="12">
        <f t="shared" ref="K14:K24" si="6">K14*H15</f>
        <v>1341.9957792183852</v>
      </c>
      <c r="L15" s="12">
        <f t="shared" si="4"/>
        <v>1257.8051183726886</v>
      </c>
      <c r="M15" s="10">
        <f t="shared" ref="M14:M24" si="7">$C$3*J14</f>
        <v>84.190660845696485</v>
      </c>
    </row>
    <row r="16" spans="2:13" x14ac:dyDescent="0.3">
      <c r="B16" s="21">
        <v>44562</v>
      </c>
      <c r="C16" s="22">
        <v>0.54</v>
      </c>
      <c r="D16" s="8">
        <f t="shared" si="0"/>
        <v>1.0054000000000001</v>
      </c>
      <c r="E16" t="str">
        <f t="shared" ca="1" si="1"/>
        <v>=(C16/100)+1</v>
      </c>
      <c r="F16" s="8">
        <v>4</v>
      </c>
      <c r="G16" s="11">
        <v>44614</v>
      </c>
      <c r="H16" s="8">
        <f t="shared" si="2"/>
        <v>1.0054000000000001</v>
      </c>
      <c r="I16" s="10">
        <f t="shared" si="5"/>
        <v>10484.937957172237</v>
      </c>
      <c r="J16" s="10">
        <f t="shared" si="3"/>
        <v>10590.835830539676</v>
      </c>
      <c r="K16" s="12">
        <f t="shared" si="6"/>
        <v>1349.2425564261646</v>
      </c>
      <c r="L16" s="12">
        <f t="shared" si="4"/>
        <v>1272.8171482409787</v>
      </c>
      <c r="M16" s="10">
        <f t="shared" si="7"/>
        <v>76.425408185185887</v>
      </c>
    </row>
    <row r="17" spans="2:13" x14ac:dyDescent="0.3">
      <c r="B17" s="21">
        <v>44593</v>
      </c>
      <c r="C17" s="22">
        <v>1.01</v>
      </c>
      <c r="D17" s="8">
        <f t="shared" si="0"/>
        <v>1.0101</v>
      </c>
      <c r="E17" t="str">
        <f t="shared" ca="1" si="1"/>
        <v>=(C17/100)+1</v>
      </c>
      <c r="F17" s="8">
        <v>5</v>
      </c>
      <c r="G17" s="11">
        <v>44642</v>
      </c>
      <c r="H17" s="8">
        <f t="shared" si="2"/>
        <v>1.0101</v>
      </c>
      <c r="I17" s="10">
        <f t="shared" si="5"/>
        <v>9296.8063571921157</v>
      </c>
      <c r="J17" s="10">
        <f t="shared" si="3"/>
        <v>9447.414620178628</v>
      </c>
      <c r="K17" s="12">
        <f t="shared" si="6"/>
        <v>1362.8699062460689</v>
      </c>
      <c r="L17" s="12">
        <f t="shared" si="4"/>
        <v>1294.029473347561</v>
      </c>
      <c r="M17" s="10">
        <f t="shared" si="7"/>
        <v>68.840432898507885</v>
      </c>
    </row>
    <row r="18" spans="2:13" x14ac:dyDescent="0.3">
      <c r="B18" s="21">
        <v>44621</v>
      </c>
      <c r="C18" s="22">
        <v>1.62</v>
      </c>
      <c r="D18" s="8">
        <f t="shared" si="0"/>
        <v>1.0162</v>
      </c>
      <c r="E18" t="str">
        <f t="shared" ca="1" si="1"/>
        <v>=(C18/100)+1</v>
      </c>
      <c r="F18" s="8">
        <v>6</v>
      </c>
      <c r="G18" s="11">
        <v>44673</v>
      </c>
      <c r="H18" s="8">
        <f t="shared" si="2"/>
        <v>1.0162</v>
      </c>
      <c r="I18" s="10">
        <f t="shared" si="5"/>
        <v>8123.8744164825339</v>
      </c>
      <c r="J18" s="10">
        <f t="shared" si="3"/>
        <v>8209.987485297248</v>
      </c>
      <c r="K18" s="12">
        <f t="shared" si="6"/>
        <v>1384.9483987272552</v>
      </c>
      <c r="L18" s="12">
        <f t="shared" si="4"/>
        <v>1323.5402036960941</v>
      </c>
      <c r="M18" s="10">
        <f t="shared" si="7"/>
        <v>61.408195031161078</v>
      </c>
    </row>
    <row r="19" spans="2:13" x14ac:dyDescent="0.3">
      <c r="B19" s="21">
        <v>44652</v>
      </c>
      <c r="C19" s="22">
        <v>1.06</v>
      </c>
      <c r="D19" s="8">
        <f t="shared" si="0"/>
        <v>1.0105999999999999</v>
      </c>
      <c r="E19" t="str">
        <f t="shared" ca="1" si="1"/>
        <v>=(C19/100)+1</v>
      </c>
      <c r="F19" s="8">
        <v>7</v>
      </c>
      <c r="G19" s="11">
        <v>44703</v>
      </c>
      <c r="H19" s="8">
        <f t="shared" si="2"/>
        <v>1.0105999999999999</v>
      </c>
      <c r="I19" s="10">
        <f t="shared" si="5"/>
        <v>6863.7235521979164</v>
      </c>
      <c r="J19" s="10">
        <f t="shared" si="3"/>
        <v>6895.9830528932462</v>
      </c>
      <c r="K19" s="12">
        <f t="shared" si="6"/>
        <v>1399.6288517537639</v>
      </c>
      <c r="L19" s="12">
        <f t="shared" si="4"/>
        <v>1346.2639330993318</v>
      </c>
      <c r="M19" s="10">
        <f t="shared" si="7"/>
        <v>53.36491865443211</v>
      </c>
    </row>
    <row r="20" spans="2:13" x14ac:dyDescent="0.3">
      <c r="B20" s="21">
        <v>44682</v>
      </c>
      <c r="C20" s="22">
        <v>0.47</v>
      </c>
      <c r="D20" s="8">
        <f t="shared" si="0"/>
        <v>1.0046999999999999</v>
      </c>
      <c r="E20" t="str">
        <f t="shared" ca="1" si="1"/>
        <v>=(C20/100)+1</v>
      </c>
      <c r="F20" s="8">
        <v>8</v>
      </c>
      <c r="G20" s="11">
        <v>44734</v>
      </c>
      <c r="H20" s="8">
        <f t="shared" si="2"/>
        <v>1.0046999999999999</v>
      </c>
      <c r="I20" s="10">
        <f t="shared" si="5"/>
        <v>5534.599835380046</v>
      </c>
      <c r="J20" s="10">
        <f t="shared" si="3"/>
        <v>5571.6816542770921</v>
      </c>
      <c r="K20" s="12">
        <f t="shared" si="6"/>
        <v>1406.2071073570064</v>
      </c>
      <c r="L20" s="12">
        <f t="shared" si="4"/>
        <v>1361.3832175132004</v>
      </c>
      <c r="M20" s="10">
        <f t="shared" si="7"/>
        <v>44.8238898438061</v>
      </c>
    </row>
    <row r="21" spans="2:13" x14ac:dyDescent="0.3">
      <c r="B21" s="21">
        <v>44713</v>
      </c>
      <c r="C21" s="22">
        <v>0.67</v>
      </c>
      <c r="D21" s="8">
        <f t="shared" si="0"/>
        <v>1.0066999999999999</v>
      </c>
      <c r="E21" t="str">
        <f t="shared" ca="1" si="1"/>
        <v>=(C21/100)+1</v>
      </c>
      <c r="F21" s="8">
        <v>9</v>
      </c>
      <c r="G21" s="11">
        <v>44764</v>
      </c>
      <c r="H21" s="8">
        <f t="shared" si="2"/>
        <v>1.0066999999999999</v>
      </c>
      <c r="I21" s="10">
        <f t="shared" si="5"/>
        <v>4192.268890053595</v>
      </c>
      <c r="J21" s="10">
        <f t="shared" si="3"/>
        <v>4163.7614616012306</v>
      </c>
      <c r="K21" s="12">
        <f t="shared" si="6"/>
        <v>1415.6286949762982</v>
      </c>
      <c r="L21" s="12">
        <f t="shared" si="4"/>
        <v>1379.4127642234971</v>
      </c>
      <c r="M21" s="10">
        <f t="shared" si="7"/>
        <v>36.2159307528011</v>
      </c>
    </row>
    <row r="22" spans="2:13" x14ac:dyDescent="0.3">
      <c r="B22" s="21">
        <v>44743</v>
      </c>
      <c r="C22" s="22">
        <v>-0.68</v>
      </c>
      <c r="D22" s="8">
        <f t="shared" si="0"/>
        <v>0.99319999999999997</v>
      </c>
      <c r="E22" t="str">
        <f t="shared" ca="1" si="1"/>
        <v>=(C22/100)+1</v>
      </c>
      <c r="F22" s="8">
        <v>10</v>
      </c>
      <c r="G22" s="11">
        <v>44795</v>
      </c>
      <c r="H22" s="8">
        <f t="shared" si="2"/>
        <v>0.99319999999999997</v>
      </c>
      <c r="I22" s="10">
        <f t="shared" si="5"/>
        <v>2784.8234912511793</v>
      </c>
      <c r="J22" s="10">
        <f t="shared" si="3"/>
        <v>2774.798126682675</v>
      </c>
      <c r="K22" s="12">
        <f t="shared" si="6"/>
        <v>1406.0024198504593</v>
      </c>
      <c r="L22" s="12">
        <f t="shared" si="4"/>
        <v>1378.9379703500513</v>
      </c>
      <c r="M22" s="10">
        <f t="shared" si="7"/>
        <v>27.064449500407999</v>
      </c>
    </row>
    <row r="23" spans="2:13" x14ac:dyDescent="0.3">
      <c r="B23" s="21">
        <v>44774</v>
      </c>
      <c r="C23" s="22">
        <v>-0.36</v>
      </c>
      <c r="D23" s="8">
        <f t="shared" si="0"/>
        <v>0.99639999999999995</v>
      </c>
      <c r="E23" t="str">
        <f t="shared" ca="1" si="1"/>
        <v>=(C23/100)+1</v>
      </c>
      <c r="F23" s="8">
        <v>11</v>
      </c>
      <c r="G23" s="11">
        <v>44826</v>
      </c>
      <c r="H23" s="8">
        <f t="shared" si="2"/>
        <v>0.99639999999999995</v>
      </c>
      <c r="I23" s="10">
        <f t="shared" si="5"/>
        <v>1391.8935033671148</v>
      </c>
      <c r="J23" s="10">
        <f t="shared" si="3"/>
        <v>1387.8570122073502</v>
      </c>
      <c r="K23" s="12">
        <f t="shared" si="6"/>
        <v>1400.9408111389976</v>
      </c>
      <c r="L23" s="12">
        <f t="shared" si="4"/>
        <v>1382.9046233155602</v>
      </c>
      <c r="M23" s="10">
        <f t="shared" si="7"/>
        <v>18.036187823437388</v>
      </c>
    </row>
    <row r="24" spans="2:13" x14ac:dyDescent="0.3">
      <c r="B24" s="21">
        <v>44805</v>
      </c>
      <c r="C24" s="22">
        <v>-0.28999999999999998</v>
      </c>
      <c r="D24" s="8">
        <f t="shared" si="0"/>
        <v>0.99709999999999999</v>
      </c>
      <c r="E24" t="str">
        <f t="shared" ca="1" si="1"/>
        <v>=(C24/100)+1</v>
      </c>
      <c r="F24" s="8">
        <v>12</v>
      </c>
      <c r="G24" s="11">
        <v>44856</v>
      </c>
      <c r="H24" s="8">
        <f t="shared" si="2"/>
        <v>0.99709999999999999</v>
      </c>
      <c r="I24" s="18">
        <f t="shared" si="5"/>
        <v>3.4106051316484809E-12</v>
      </c>
      <c r="J24" s="18">
        <f t="shared" si="3"/>
        <v>0</v>
      </c>
      <c r="K24" s="12">
        <f t="shared" si="6"/>
        <v>1396.8780827866944</v>
      </c>
      <c r="L24" s="12">
        <f t="shared" si="4"/>
        <v>1387.8570122073468</v>
      </c>
      <c r="M24" s="10">
        <f t="shared" si="7"/>
        <v>9.021070579347775</v>
      </c>
    </row>
    <row r="25" spans="2:13" x14ac:dyDescent="0.3">
      <c r="K25" s="16">
        <f>SUM(K13:K24)</f>
        <v>16516.345560816459</v>
      </c>
      <c r="L25" s="16">
        <f>SUM(L13:L24)</f>
        <v>15846.591077162475</v>
      </c>
      <c r="M25" s="16">
        <f>SUM(M13:M24)</f>
        <v>669.75448365398518</v>
      </c>
    </row>
  </sheetData>
  <mergeCells count="2">
    <mergeCell ref="B11:D11"/>
    <mergeCell ref="F10:M1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4F70-C4D4-42C7-B492-53FCB88A5926}">
  <dimension ref="B2:G26"/>
  <sheetViews>
    <sheetView zoomScale="160" zoomScaleNormal="160" workbookViewId="0">
      <selection activeCell="F3" sqref="F3"/>
    </sheetView>
  </sheetViews>
  <sheetFormatPr defaultRowHeight="14.4" x14ac:dyDescent="0.3"/>
  <cols>
    <col min="2" max="2" width="15.21875" bestFit="1" customWidth="1"/>
    <col min="3" max="3" width="12.21875" bestFit="1" customWidth="1"/>
    <col min="4" max="4" width="14.6640625" bestFit="1" customWidth="1"/>
    <col min="5" max="5" width="10.33203125" bestFit="1" customWidth="1"/>
    <col min="6" max="6" width="14.44140625" customWidth="1"/>
    <col min="7" max="7" width="17" customWidth="1"/>
    <col min="8" max="8" width="18.88671875" customWidth="1"/>
    <col min="9" max="9" width="21.33203125" customWidth="1"/>
  </cols>
  <sheetData>
    <row r="2" spans="2:7" x14ac:dyDescent="0.3">
      <c r="B2" t="s">
        <v>11</v>
      </c>
      <c r="C2" s="3">
        <v>12000</v>
      </c>
      <c r="E2" t="s">
        <v>50</v>
      </c>
      <c r="F2" s="23">
        <f>XIRR(D13:D25,C13:C25)</f>
        <v>0.657448834180832</v>
      </c>
      <c r="G2" t="str">
        <f ca="1">_xlfn.FORMULATEXT(F2)</f>
        <v>=XTIR(D13:D25;C13:C25)</v>
      </c>
    </row>
    <row r="3" spans="2:7" x14ac:dyDescent="0.3">
      <c r="B3" t="s">
        <v>48</v>
      </c>
      <c r="C3" s="3">
        <v>262.87</v>
      </c>
      <c r="E3" t="s">
        <v>51</v>
      </c>
      <c r="F3" s="23">
        <f>((1+F2)^(30/365))-1</f>
        <v>4.2404254164357891E-2</v>
      </c>
      <c r="G3" t="str">
        <f ca="1">_xlfn.FORMULATEXT(F3)</f>
        <v>=((1+F2)^(30/365))-1</v>
      </c>
    </row>
    <row r="4" spans="2:7" x14ac:dyDescent="0.3">
      <c r="B4" t="s">
        <v>49</v>
      </c>
      <c r="C4" s="3">
        <v>277.76</v>
      </c>
    </row>
    <row r="5" spans="2:7" x14ac:dyDescent="0.3">
      <c r="B5" t="s">
        <v>19</v>
      </c>
      <c r="C5" s="3">
        <f>C2+C3+C4</f>
        <v>12540.630000000001</v>
      </c>
    </row>
    <row r="6" spans="2:7" x14ac:dyDescent="0.3">
      <c r="B6" t="s">
        <v>6</v>
      </c>
      <c r="C6" s="5">
        <v>3.49E-2</v>
      </c>
      <c r="D6" s="2" t="s">
        <v>1</v>
      </c>
    </row>
    <row r="7" spans="2:7" x14ac:dyDescent="0.3">
      <c r="B7" t="s">
        <v>23</v>
      </c>
      <c r="C7" s="2">
        <v>12</v>
      </c>
      <c r="D7" s="2"/>
    </row>
    <row r="8" spans="2:7" x14ac:dyDescent="0.3">
      <c r="B8" t="s">
        <v>24</v>
      </c>
      <c r="C8" s="14">
        <v>43474</v>
      </c>
    </row>
    <row r="9" spans="2:7" x14ac:dyDescent="0.3">
      <c r="B9" t="s">
        <v>25</v>
      </c>
      <c r="C9" s="14">
        <v>43505</v>
      </c>
    </row>
    <row r="10" spans="2:7" x14ac:dyDescent="0.3">
      <c r="B10" s="4" t="s">
        <v>16</v>
      </c>
      <c r="C10" s="7">
        <v>1299.5423126839287</v>
      </c>
      <c r="D10" s="2"/>
    </row>
    <row r="12" spans="2:7" x14ac:dyDescent="0.3">
      <c r="B12" s="37" t="s">
        <v>9</v>
      </c>
      <c r="C12" s="37" t="s">
        <v>10</v>
      </c>
      <c r="D12" s="37" t="s">
        <v>8</v>
      </c>
      <c r="F12" s="29" t="s">
        <v>57</v>
      </c>
      <c r="G12" s="29" t="s">
        <v>0</v>
      </c>
    </row>
    <row r="13" spans="2:7" x14ac:dyDescent="0.3">
      <c r="B13" s="8">
        <v>0</v>
      </c>
      <c r="C13" s="11">
        <v>43474</v>
      </c>
      <c r="D13" s="10">
        <f>C2</f>
        <v>12000</v>
      </c>
      <c r="F13" s="17"/>
      <c r="G13" s="10">
        <f>D13</f>
        <v>12000</v>
      </c>
    </row>
    <row r="14" spans="2:7" x14ac:dyDescent="0.3">
      <c r="B14" s="8">
        <v>1</v>
      </c>
      <c r="C14" s="11">
        <v>43505</v>
      </c>
      <c r="D14" s="12">
        <f>-$C$10</f>
        <v>-1299.5423126839287</v>
      </c>
      <c r="F14" s="8">
        <f>C14-$C$13</f>
        <v>31</v>
      </c>
      <c r="G14" s="12">
        <f>D14/(1+$F$2)^(F14/365)</f>
        <v>-1244.9532509427313</v>
      </c>
    </row>
    <row r="15" spans="2:7" x14ac:dyDescent="0.3">
      <c r="B15" s="8">
        <v>2</v>
      </c>
      <c r="C15" s="11">
        <v>43533</v>
      </c>
      <c r="D15" s="12">
        <f t="shared" ref="D15:D25" si="0">-$C$10</f>
        <v>-1299.5423126839287</v>
      </c>
      <c r="F15" s="8">
        <f t="shared" ref="F15:F25" si="1">C15-$C$13</f>
        <v>59</v>
      </c>
      <c r="G15" s="12">
        <f t="shared" ref="G15:G25" si="2">D15/(1+$F$2)^(F15/365)</f>
        <v>-1197.6206622468292</v>
      </c>
    </row>
    <row r="16" spans="2:7" x14ac:dyDescent="0.3">
      <c r="B16" s="8">
        <v>3</v>
      </c>
      <c r="C16" s="11">
        <v>43564</v>
      </c>
      <c r="D16" s="12">
        <f t="shared" si="0"/>
        <v>-1299.5423126839287</v>
      </c>
      <c r="F16" s="8">
        <f t="shared" si="1"/>
        <v>90</v>
      </c>
      <c r="G16" s="12">
        <f t="shared" si="2"/>
        <v>-1147.3129595765688</v>
      </c>
    </row>
    <row r="17" spans="2:7" x14ac:dyDescent="0.3">
      <c r="B17" s="8">
        <v>4</v>
      </c>
      <c r="C17" s="11">
        <v>43594</v>
      </c>
      <c r="D17" s="12">
        <f t="shared" si="0"/>
        <v>-1299.5423126839287</v>
      </c>
      <c r="F17" s="8">
        <f t="shared" si="1"/>
        <v>120</v>
      </c>
      <c r="G17" s="12">
        <f t="shared" si="2"/>
        <v>-1100.6410948469418</v>
      </c>
    </row>
    <row r="18" spans="2:7" x14ac:dyDescent="0.3">
      <c r="B18" s="8">
        <v>5</v>
      </c>
      <c r="C18" s="11">
        <v>43625</v>
      </c>
      <c r="D18" s="12">
        <f t="shared" si="0"/>
        <v>-1299.5423126839287</v>
      </c>
      <c r="F18" s="8">
        <f t="shared" si="1"/>
        <v>151</v>
      </c>
      <c r="G18" s="12">
        <f t="shared" si="2"/>
        <v>-1054.407152254176</v>
      </c>
    </row>
    <row r="19" spans="2:7" x14ac:dyDescent="0.3">
      <c r="B19" s="8">
        <v>6</v>
      </c>
      <c r="C19" s="11">
        <v>43655</v>
      </c>
      <c r="D19" s="12">
        <f t="shared" si="0"/>
        <v>-1299.5423126839287</v>
      </c>
      <c r="F19" s="8">
        <f t="shared" si="1"/>
        <v>181</v>
      </c>
      <c r="G19" s="12">
        <f t="shared" si="2"/>
        <v>-1011.5146288418021</v>
      </c>
    </row>
    <row r="20" spans="2:7" x14ac:dyDescent="0.3">
      <c r="B20" s="8">
        <v>7</v>
      </c>
      <c r="C20" s="11">
        <v>43686</v>
      </c>
      <c r="D20" s="12">
        <f t="shared" si="0"/>
        <v>-1299.5423126839287</v>
      </c>
      <c r="F20" s="8">
        <f t="shared" si="1"/>
        <v>212</v>
      </c>
      <c r="G20" s="12">
        <f t="shared" si="2"/>
        <v>-969.02456600427195</v>
      </c>
    </row>
    <row r="21" spans="2:7" x14ac:dyDescent="0.3">
      <c r="B21" s="8">
        <v>8</v>
      </c>
      <c r="C21" s="11">
        <v>43717</v>
      </c>
      <c r="D21" s="12">
        <f t="shared" si="0"/>
        <v>-1299.5423126839287</v>
      </c>
      <c r="F21" s="8">
        <f t="shared" si="1"/>
        <v>243</v>
      </c>
      <c r="G21" s="12">
        <f t="shared" si="2"/>
        <v>-928.31935668092615</v>
      </c>
    </row>
    <row r="22" spans="2:7" x14ac:dyDescent="0.3">
      <c r="B22" s="8">
        <v>9</v>
      </c>
      <c r="C22" s="11">
        <v>43747</v>
      </c>
      <c r="D22" s="12">
        <f t="shared" si="0"/>
        <v>-1299.5423126839287</v>
      </c>
      <c r="F22" s="8">
        <f t="shared" si="1"/>
        <v>273</v>
      </c>
      <c r="G22" s="12">
        <f t="shared" si="2"/>
        <v>-890.55599396523201</v>
      </c>
    </row>
    <row r="23" spans="2:7" x14ac:dyDescent="0.3">
      <c r="B23" s="8">
        <v>10</v>
      </c>
      <c r="C23" s="11">
        <v>43778</v>
      </c>
      <c r="D23" s="12">
        <f t="shared" si="0"/>
        <v>-1299.5423126839287</v>
      </c>
      <c r="F23" s="8">
        <f t="shared" si="1"/>
        <v>304</v>
      </c>
      <c r="G23" s="12">
        <f t="shared" si="2"/>
        <v>-853.14696490625636</v>
      </c>
    </row>
    <row r="24" spans="2:7" x14ac:dyDescent="0.3">
      <c r="B24" s="8">
        <v>11</v>
      </c>
      <c r="C24" s="11">
        <v>43808</v>
      </c>
      <c r="D24" s="12">
        <f t="shared" si="0"/>
        <v>-1299.5423126839287</v>
      </c>
      <c r="F24" s="8">
        <f t="shared" si="1"/>
        <v>334</v>
      </c>
      <c r="G24" s="12">
        <f t="shared" si="2"/>
        <v>-818.44156093758522</v>
      </c>
    </row>
    <row r="25" spans="2:7" x14ac:dyDescent="0.3">
      <c r="B25" s="8">
        <v>12</v>
      </c>
      <c r="C25" s="11">
        <v>43839</v>
      </c>
      <c r="D25" s="12">
        <f t="shared" si="0"/>
        <v>-1299.5423126839287</v>
      </c>
      <c r="F25" s="8">
        <f t="shared" si="1"/>
        <v>365</v>
      </c>
      <c r="G25" s="12">
        <f t="shared" si="2"/>
        <v>-784.06179779673687</v>
      </c>
    </row>
    <row r="26" spans="2:7" x14ac:dyDescent="0.3">
      <c r="G26" s="3">
        <f>SUM(G13:G25)</f>
        <v>1.0999941196132568E-5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F60D-6711-4388-BE68-67B4C088BC7D}">
  <dimension ref="B2:G21"/>
  <sheetViews>
    <sheetView zoomScale="150" zoomScaleNormal="150" workbookViewId="0">
      <selection activeCell="C20" sqref="C20"/>
    </sheetView>
  </sheetViews>
  <sheetFormatPr defaultRowHeight="14.4" x14ac:dyDescent="0.3"/>
  <cols>
    <col min="1" max="1" width="8.88671875" style="26"/>
    <col min="2" max="2" width="16" style="26" customWidth="1"/>
    <col min="3" max="3" width="18.77734375" style="26" customWidth="1"/>
    <col min="4" max="4" width="17.109375" style="26" customWidth="1"/>
    <col min="5" max="5" width="19.44140625" style="26" customWidth="1"/>
    <col min="6" max="6" width="16" style="26" customWidth="1"/>
    <col min="7" max="7" width="24.109375" style="26" bestFit="1" customWidth="1"/>
    <col min="8" max="16384" width="8.88671875" style="26"/>
  </cols>
  <sheetData>
    <row r="2" spans="2:7" x14ac:dyDescent="0.3">
      <c r="B2" s="54" t="s">
        <v>54</v>
      </c>
      <c r="C2" s="54"/>
      <c r="D2" s="54"/>
      <c r="E2" s="54"/>
    </row>
    <row r="3" spans="2:7" x14ac:dyDescent="0.3">
      <c r="B3" s="27" t="s">
        <v>22</v>
      </c>
      <c r="C3" s="28">
        <v>10000</v>
      </c>
      <c r="D3" s="27" t="s">
        <v>55</v>
      </c>
      <c r="E3" s="28">
        <v>9400</v>
      </c>
    </row>
    <row r="5" spans="2:7" x14ac:dyDescent="0.3">
      <c r="B5" s="29" t="s">
        <v>44</v>
      </c>
      <c r="C5" s="29" t="s">
        <v>56</v>
      </c>
      <c r="D5" s="29" t="s">
        <v>57</v>
      </c>
      <c r="F5" s="29" t="s">
        <v>0</v>
      </c>
    </row>
    <row r="6" spans="2:7" x14ac:dyDescent="0.3">
      <c r="B6" s="30">
        <v>45301</v>
      </c>
      <c r="C6" s="31">
        <f>E3</f>
        <v>9400</v>
      </c>
      <c r="D6" s="32"/>
      <c r="F6" s="33">
        <f>C6</f>
        <v>9400</v>
      </c>
      <c r="G6" s="26" t="str">
        <f ca="1">_xlfn.FORMULATEXT(F6)</f>
        <v>=C6</v>
      </c>
    </row>
    <row r="7" spans="2:7" x14ac:dyDescent="0.3">
      <c r="B7" s="30">
        <v>45332</v>
      </c>
      <c r="C7" s="57">
        <v>-900</v>
      </c>
      <c r="D7" s="34">
        <f>B7-$B$6</f>
        <v>31</v>
      </c>
      <c r="E7" s="26" t="str">
        <f ca="1">_xlfn.FORMULATEXT(D7)</f>
        <v>=B7-$B$6</v>
      </c>
      <c r="F7" s="33">
        <f>C7/(1+$C$20)^(D7/365)</f>
        <v>-880.23908677830786</v>
      </c>
      <c r="G7" s="26" t="str">
        <f ca="1">_xlfn.FORMULATEXT(F7)</f>
        <v>=C7/(1+$C$20)^(D7/365)</v>
      </c>
    </row>
    <row r="8" spans="2:7" x14ac:dyDescent="0.3">
      <c r="B8" s="30">
        <v>45361</v>
      </c>
      <c r="C8" s="57">
        <v>-900</v>
      </c>
      <c r="D8" s="34">
        <f>B8-$B$6</f>
        <v>60</v>
      </c>
      <c r="E8" s="26" t="str">
        <f ca="1">_xlfn.FORMULATEXT(D8)</f>
        <v>=B8-$B$6</v>
      </c>
      <c r="F8" s="33">
        <f t="shared" ref="F8:F18" si="0">C8/(1+$C$20)^(D8/365)</f>
        <v>-862.14605404006727</v>
      </c>
      <c r="G8" s="26" t="str">
        <f t="shared" ref="G8:G19" ca="1" si="1">_xlfn.FORMULATEXT(F8)</f>
        <v>=C8/(1+$C$20)^(D8/365)</v>
      </c>
    </row>
    <row r="9" spans="2:7" x14ac:dyDescent="0.3">
      <c r="B9" s="30">
        <v>45392</v>
      </c>
      <c r="C9" s="57">
        <v>-900</v>
      </c>
      <c r="D9" s="34">
        <f>B9-$B$6</f>
        <v>91</v>
      </c>
      <c r="E9" s="26" t="str">
        <f t="shared" ref="E9:E18" ca="1" si="2">_xlfn.FORMULATEXT(D9)</f>
        <v>=B9-$B$6</v>
      </c>
      <c r="F9" s="33">
        <f t="shared" si="0"/>
        <v>-843.21628364194498</v>
      </c>
      <c r="G9" s="26" t="str">
        <f t="shared" ca="1" si="1"/>
        <v>=C9/(1+$C$20)^(D9/365)</v>
      </c>
    </row>
    <row r="10" spans="2:7" x14ac:dyDescent="0.3">
      <c r="B10" s="30">
        <v>45422</v>
      </c>
      <c r="C10" s="57">
        <v>-900</v>
      </c>
      <c r="D10" s="34">
        <f t="shared" ref="D10:D18" si="3">B10-$B$6</f>
        <v>121</v>
      </c>
      <c r="E10" s="26" t="str">
        <f t="shared" ca="1" si="2"/>
        <v>=B10-$B$6</v>
      </c>
      <c r="F10" s="33">
        <f t="shared" si="0"/>
        <v>-825.29298278089925</v>
      </c>
      <c r="G10" s="26" t="str">
        <f t="shared" ca="1" si="1"/>
        <v>=C10/(1+$C$20)^(D10/365)</v>
      </c>
    </row>
    <row r="11" spans="2:7" x14ac:dyDescent="0.3">
      <c r="B11" s="30">
        <v>45453</v>
      </c>
      <c r="C11" s="57">
        <v>-900</v>
      </c>
      <c r="D11" s="34">
        <f t="shared" si="3"/>
        <v>152</v>
      </c>
      <c r="E11" s="26" t="str">
        <f t="shared" ca="1" si="2"/>
        <v>=B11-$B$6</v>
      </c>
      <c r="F11" s="33">
        <f t="shared" si="0"/>
        <v>-807.17237943067187</v>
      </c>
      <c r="G11" s="26" t="str">
        <f t="shared" ca="1" si="1"/>
        <v>=C11/(1+$C$20)^(D11/365)</v>
      </c>
    </row>
    <row r="12" spans="2:7" x14ac:dyDescent="0.3">
      <c r="B12" s="30">
        <v>45483</v>
      </c>
      <c r="C12" s="57">
        <v>-900</v>
      </c>
      <c r="D12" s="34">
        <f t="shared" si="3"/>
        <v>182</v>
      </c>
      <c r="E12" s="26" t="str">
        <f t="shared" ca="1" si="2"/>
        <v>=B12-$B$6</v>
      </c>
      <c r="F12" s="33">
        <f t="shared" si="0"/>
        <v>-790.01522333214791</v>
      </c>
      <c r="G12" s="26" t="str">
        <f t="shared" ca="1" si="1"/>
        <v>=C12/(1+$C$20)^(D12/365)</v>
      </c>
    </row>
    <row r="13" spans="2:7" x14ac:dyDescent="0.3">
      <c r="B13" s="30">
        <v>45514</v>
      </c>
      <c r="C13" s="57">
        <v>-900</v>
      </c>
      <c r="D13" s="34">
        <f t="shared" si="3"/>
        <v>213</v>
      </c>
      <c r="E13" s="26" t="str">
        <f t="shared" ca="1" si="2"/>
        <v>=B13-$B$6</v>
      </c>
      <c r="F13" s="33">
        <f t="shared" si="0"/>
        <v>-772.66919858538972</v>
      </c>
      <c r="G13" s="26" t="str">
        <f t="shared" ca="1" si="1"/>
        <v>=C13/(1+$C$20)^(D13/365)</v>
      </c>
    </row>
    <row r="14" spans="2:7" x14ac:dyDescent="0.3">
      <c r="B14" s="30">
        <v>45545</v>
      </c>
      <c r="C14" s="57">
        <v>-900</v>
      </c>
      <c r="D14" s="34">
        <f t="shared" si="3"/>
        <v>244</v>
      </c>
      <c r="E14" s="26" t="str">
        <f t="shared" ca="1" si="2"/>
        <v>=B14-$B$6</v>
      </c>
      <c r="F14" s="33">
        <f t="shared" si="0"/>
        <v>-755.70403304947831</v>
      </c>
      <c r="G14" s="26" t="str">
        <f t="shared" ca="1" si="1"/>
        <v>=C14/(1+$C$20)^(D14/365)</v>
      </c>
    </row>
    <row r="15" spans="2:7" x14ac:dyDescent="0.3">
      <c r="B15" s="30">
        <v>45575</v>
      </c>
      <c r="C15" s="57">
        <v>-900</v>
      </c>
      <c r="D15" s="34">
        <f t="shared" si="3"/>
        <v>274</v>
      </c>
      <c r="E15" s="26" t="str">
        <f t="shared" ca="1" si="2"/>
        <v>=B15-$B$6</v>
      </c>
      <c r="F15" s="33">
        <f t="shared" si="0"/>
        <v>-739.64088174534277</v>
      </c>
      <c r="G15" s="26" t="str">
        <f t="shared" ca="1" si="1"/>
        <v>=C15/(1+$C$20)^(D15/365)</v>
      </c>
    </row>
    <row r="16" spans="2:7" x14ac:dyDescent="0.3">
      <c r="B16" s="30">
        <v>45606</v>
      </c>
      <c r="C16" s="57">
        <v>-900</v>
      </c>
      <c r="D16" s="34">
        <f t="shared" si="3"/>
        <v>305</v>
      </c>
      <c r="E16" s="26" t="str">
        <f t="shared" ca="1" si="2"/>
        <v>=B16-$B$6</v>
      </c>
      <c r="F16" s="33">
        <f t="shared" si="0"/>
        <v>-723.40090476824776</v>
      </c>
      <c r="G16" s="26" t="str">
        <f t="shared" ca="1" si="1"/>
        <v>=C16/(1+$C$20)^(D16/365)</v>
      </c>
    </row>
    <row r="17" spans="2:7" x14ac:dyDescent="0.3">
      <c r="B17" s="30">
        <v>45636</v>
      </c>
      <c r="C17" s="57">
        <v>-900</v>
      </c>
      <c r="D17" s="34">
        <f t="shared" si="3"/>
        <v>335</v>
      </c>
      <c r="E17" s="26" t="str">
        <f t="shared" ca="1" si="2"/>
        <v>=B17-$B$6</v>
      </c>
      <c r="F17" s="33">
        <f t="shared" si="0"/>
        <v>-708.02438475690087</v>
      </c>
      <c r="G17" s="26" t="str">
        <f t="shared" ca="1" si="1"/>
        <v>=C17/(1+$C$20)^(D17/365)</v>
      </c>
    </row>
    <row r="18" spans="2:7" x14ac:dyDescent="0.3">
      <c r="B18" s="30">
        <v>45667</v>
      </c>
      <c r="C18" s="57">
        <v>-900</v>
      </c>
      <c r="D18" s="34">
        <f t="shared" si="3"/>
        <v>366</v>
      </c>
      <c r="E18" s="26" t="str">
        <f t="shared" ca="1" si="2"/>
        <v>=B18-$B$6</v>
      </c>
      <c r="F18" s="33">
        <f t="shared" si="0"/>
        <v>-692.47859761687516</v>
      </c>
      <c r="G18" s="26" t="str">
        <f t="shared" ca="1" si="1"/>
        <v>=C18/(1+$C$20)^(D18/365)</v>
      </c>
    </row>
    <row r="19" spans="2:7" x14ac:dyDescent="0.3">
      <c r="F19" s="38">
        <f>SUM(F6:F18)</f>
        <v>-1.0526272831157257E-5</v>
      </c>
      <c r="G19" s="26" t="str">
        <f t="shared" ca="1" si="1"/>
        <v>=SOMA(F6:F18)</v>
      </c>
    </row>
    <row r="20" spans="2:7" x14ac:dyDescent="0.3">
      <c r="B20" s="35" t="s">
        <v>50</v>
      </c>
      <c r="C20" s="36">
        <f>XIRR(C6:C18,B6:B18)</f>
        <v>0.29874870181083679</v>
      </c>
      <c r="D20" s="26" t="str">
        <f ca="1">_xlfn.FORMULATEXT(C20)</f>
        <v>=XTIR(C6:C18;B6:B18)</v>
      </c>
    </row>
    <row r="21" spans="2:7" x14ac:dyDescent="0.3">
      <c r="B21" s="35" t="s">
        <v>58</v>
      </c>
      <c r="C21" s="36">
        <f>((1+C20)^(30/365))-1</f>
        <v>2.1717500614935048E-2</v>
      </c>
      <c r="D21" s="26" t="str">
        <f ca="1">_xlfn.FORMULATEXT(C21)</f>
        <v>=((1+C20)^(30/365))-1</v>
      </c>
    </row>
  </sheetData>
  <mergeCells count="1">
    <mergeCell ref="B2:E2"/>
  </mergeCells>
  <pageMargins left="0.511811024" right="0.511811024" top="0.78740157499999996" bottom="0.78740157499999996" header="0.31496062000000002" footer="0.31496062000000002"/>
  <ignoredErrors>
    <ignoredError sqref="F7:F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323A-4DEC-41B7-A442-BF171BC1E75B}">
  <dimension ref="B2:Q23"/>
  <sheetViews>
    <sheetView topLeftCell="D5" zoomScale="150" zoomScaleNormal="150" workbookViewId="0">
      <selection activeCell="M12" sqref="M12"/>
    </sheetView>
  </sheetViews>
  <sheetFormatPr defaultRowHeight="14.4" x14ac:dyDescent="0.3"/>
  <cols>
    <col min="2" max="2" width="15.5546875" bestFit="1" customWidth="1"/>
    <col min="3" max="3" width="12.21875" bestFit="1" customWidth="1"/>
    <col min="5" max="5" width="10.5546875" customWidth="1"/>
    <col min="6" max="6" width="10.77734375" hidden="1" customWidth="1"/>
    <col min="7" max="7" width="11" customWidth="1"/>
    <col min="8" max="8" width="21.5546875" hidden="1" customWidth="1"/>
    <col min="10" max="10" width="21.6640625" hidden="1" customWidth="1"/>
    <col min="12" max="16" width="13.77734375" customWidth="1"/>
  </cols>
  <sheetData>
    <row r="2" spans="2:17" x14ac:dyDescent="0.3">
      <c r="B2" t="s">
        <v>11</v>
      </c>
      <c r="C2" s="3">
        <v>12000</v>
      </c>
      <c r="E2" s="55" t="s">
        <v>28</v>
      </c>
      <c r="F2" s="55"/>
      <c r="G2" s="55"/>
      <c r="H2" s="55"/>
    </row>
    <row r="3" spans="2:17" x14ac:dyDescent="0.3">
      <c r="B3" t="s">
        <v>6</v>
      </c>
      <c r="C3" s="1">
        <v>0.03</v>
      </c>
      <c r="D3" s="2" t="s">
        <v>1</v>
      </c>
    </row>
    <row r="4" spans="2:17" x14ac:dyDescent="0.3">
      <c r="B4" t="s">
        <v>23</v>
      </c>
      <c r="C4" s="2">
        <v>12</v>
      </c>
      <c r="D4" s="2" t="s">
        <v>3</v>
      </c>
      <c r="E4" t="s">
        <v>30</v>
      </c>
      <c r="M4" s="52" t="s">
        <v>33</v>
      </c>
      <c r="N4" s="52"/>
      <c r="O4" s="16">
        <f>PMT(C3,C4,C2)</f>
        <v>-1205.5450256755562</v>
      </c>
    </row>
    <row r="5" spans="2:17" x14ac:dyDescent="0.3">
      <c r="B5" t="s">
        <v>24</v>
      </c>
      <c r="C5" s="14">
        <v>43063</v>
      </c>
    </row>
    <row r="6" spans="2:17" x14ac:dyDescent="0.3">
      <c r="B6" t="s">
        <v>25</v>
      </c>
      <c r="C6" s="14">
        <v>43093</v>
      </c>
      <c r="E6" t="s">
        <v>31</v>
      </c>
    </row>
    <row r="7" spans="2:17" x14ac:dyDescent="0.3">
      <c r="B7" t="s">
        <v>32</v>
      </c>
      <c r="C7">
        <f>SUM(G12:G23)</f>
        <v>9.9349677689369145</v>
      </c>
    </row>
    <row r="8" spans="2:17" x14ac:dyDescent="0.3">
      <c r="B8" s="15" t="s">
        <v>16</v>
      </c>
      <c r="C8" s="20">
        <f>C2/C7</f>
        <v>1207.8549502213486</v>
      </c>
      <c r="D8" t="str">
        <f ca="1">_xlfn.FORMULATEXT(C8)</f>
        <v>=C2/C7</v>
      </c>
    </row>
    <row r="9" spans="2:17" x14ac:dyDescent="0.3">
      <c r="L9" s="53" t="s">
        <v>34</v>
      </c>
      <c r="M9" s="53"/>
      <c r="N9" s="53"/>
      <c r="O9" s="53"/>
      <c r="P9" s="53"/>
    </row>
    <row r="10" spans="2:17" x14ac:dyDescent="0.3">
      <c r="B10" s="37" t="s">
        <v>9</v>
      </c>
      <c r="C10" s="37" t="s">
        <v>10</v>
      </c>
      <c r="D10" s="37" t="s">
        <v>26</v>
      </c>
      <c r="E10" s="37" t="s">
        <v>27</v>
      </c>
      <c r="F10" s="41"/>
      <c r="G10" s="37" t="s">
        <v>29</v>
      </c>
      <c r="H10" s="41"/>
      <c r="I10" s="37" t="s">
        <v>4</v>
      </c>
      <c r="J10" s="41"/>
      <c r="K10" s="42"/>
      <c r="L10" s="37" t="s">
        <v>9</v>
      </c>
      <c r="M10" s="37" t="s">
        <v>17</v>
      </c>
      <c r="N10" s="37" t="s">
        <v>16</v>
      </c>
      <c r="O10" s="37" t="s">
        <v>18</v>
      </c>
      <c r="P10" s="37" t="s">
        <v>4</v>
      </c>
    </row>
    <row r="11" spans="2:17" x14ac:dyDescent="0.3">
      <c r="B11" s="8">
        <v>0</v>
      </c>
      <c r="C11" s="11">
        <v>43063</v>
      </c>
      <c r="D11" s="8"/>
      <c r="E11" s="17"/>
      <c r="F11" s="17"/>
      <c r="G11" s="17"/>
      <c r="H11" s="17"/>
      <c r="I11" s="17"/>
      <c r="J11" s="17"/>
      <c r="L11" s="8">
        <v>0</v>
      </c>
      <c r="M11" s="10">
        <f>C2</f>
        <v>12000</v>
      </c>
      <c r="N11" s="8"/>
      <c r="O11" s="8"/>
      <c r="P11" s="8"/>
    </row>
    <row r="12" spans="2:17" x14ac:dyDescent="0.3">
      <c r="B12" s="8">
        <v>1</v>
      </c>
      <c r="C12" s="11">
        <v>43093</v>
      </c>
      <c r="D12" s="8">
        <f>C12-C11</f>
        <v>30</v>
      </c>
      <c r="E12" s="8">
        <f>D12+E11</f>
        <v>30</v>
      </c>
      <c r="F12" s="17" t="str">
        <f ca="1">_xlfn.FORMULATEXT(E12)</f>
        <v>=D12+E11</v>
      </c>
      <c r="G12" s="8">
        <f>1/((1+$C$3)^(E12/30))</f>
        <v>0.970873786407767</v>
      </c>
      <c r="H12" s="17" t="str">
        <f ca="1">_xlfn.FORMULATEXT(G12)</f>
        <v>=1/((1+$C$3)^(E12/30))</v>
      </c>
      <c r="I12" s="19">
        <f>((1+$C$3)^(D12/30))-1</f>
        <v>3.0000000000000027E-2</v>
      </c>
      <c r="J12" s="17" t="str">
        <f ca="1">_xlfn.FORMULATEXT(I12)</f>
        <v>=((1+$C$3)^(D12/30))-1</v>
      </c>
      <c r="L12" s="8">
        <v>1</v>
      </c>
      <c r="M12" s="10">
        <f>M11-O12</f>
        <v>11152.145049778652</v>
      </c>
      <c r="N12" s="10">
        <f>$C$8</f>
        <v>1207.8549502213486</v>
      </c>
      <c r="O12" s="10">
        <f>N12-P12</f>
        <v>847.8549502213483</v>
      </c>
      <c r="P12" s="10">
        <f>I12*M11</f>
        <v>360.00000000000034</v>
      </c>
      <c r="Q12" t="str">
        <f ca="1">_xlfn.FORMULATEXT(P12)</f>
        <v>=I12*M11</v>
      </c>
    </row>
    <row r="13" spans="2:17" x14ac:dyDescent="0.3">
      <c r="B13" s="8">
        <v>2</v>
      </c>
      <c r="C13" s="11">
        <v>43124</v>
      </c>
      <c r="D13" s="8">
        <f t="shared" ref="D13:D23" si="0">C13-C12</f>
        <v>31</v>
      </c>
      <c r="E13" s="8">
        <f>D13+E12</f>
        <v>61</v>
      </c>
      <c r="F13" s="17" t="str">
        <f ca="1">_xlfn.FORMULATEXT(E13)</f>
        <v>=D13+E12</v>
      </c>
      <c r="G13" s="8">
        <f t="shared" ref="G13:G23" si="1">1/((1+$C$3)^(E13/30))</f>
        <v>0.9416676329853112</v>
      </c>
      <c r="H13" s="17" t="str">
        <f t="shared" ref="H13:H23" ca="1" si="2">_xlfn.FORMULATEXT(G13)</f>
        <v>=1/((1+$C$3)^(E13/30))</v>
      </c>
      <c r="I13" s="19">
        <f t="shared" ref="I13:I23" si="3">((1+$C$3)^(D13/30))-1</f>
        <v>3.1015352338133573E-2</v>
      </c>
      <c r="J13" s="17" t="str">
        <f t="shared" ref="J13:J23" ca="1" si="4">_xlfn.FORMULATEXT(I13)</f>
        <v>=((1+$C$3)^(D13/30))-1</v>
      </c>
      <c r="L13" s="8">
        <v>2</v>
      </c>
      <c r="M13" s="10">
        <f t="shared" ref="M13:M23" si="5">M12-O13</f>
        <v>10290.17780760216</v>
      </c>
      <c r="N13" s="10">
        <f t="shared" ref="N13:N23" si="6">$C$8</f>
        <v>1207.8549502213486</v>
      </c>
      <c r="O13" s="10">
        <f t="shared" ref="O13:O23" si="7">N13-P13</f>
        <v>861.9672421764916</v>
      </c>
      <c r="P13" s="10">
        <f>I13*M12</f>
        <v>345.88770804485705</v>
      </c>
      <c r="Q13" t="str">
        <f t="shared" ref="Q13:Q23" ca="1" si="8">_xlfn.FORMULATEXT(P13)</f>
        <v>=I13*M12</v>
      </c>
    </row>
    <row r="14" spans="2:17" x14ac:dyDescent="0.3">
      <c r="B14" s="8">
        <v>3</v>
      </c>
      <c r="C14" s="11">
        <v>43155</v>
      </c>
      <c r="D14" s="8">
        <f t="shared" si="0"/>
        <v>31</v>
      </c>
      <c r="E14" s="8">
        <f>D14+E13</f>
        <v>92</v>
      </c>
      <c r="F14" s="17" t="str">
        <f t="shared" ref="F14:F23" ca="1" si="9">_xlfn.FORMULATEXT(E14)</f>
        <v>=D14+E13</v>
      </c>
      <c r="G14" s="8">
        <f t="shared" si="1"/>
        <v>0.91334006894252373</v>
      </c>
      <c r="H14" s="17" t="str">
        <f t="shared" ca="1" si="2"/>
        <v>=1/((1+$C$3)^(E14/30))</v>
      </c>
      <c r="I14" s="19">
        <f t="shared" si="3"/>
        <v>3.1015352338133573E-2</v>
      </c>
      <c r="J14" s="17" t="str">
        <f t="shared" ca="1" si="4"/>
        <v>=((1+$C$3)^(D14/30))-1</v>
      </c>
      <c r="L14" s="8">
        <v>3</v>
      </c>
      <c r="M14" s="10">
        <f t="shared" si="5"/>
        <v>9401.4763477056349</v>
      </c>
      <c r="N14" s="10">
        <f t="shared" si="6"/>
        <v>1207.8549502213486</v>
      </c>
      <c r="O14" s="10">
        <f t="shared" si="7"/>
        <v>888.70145989652474</v>
      </c>
      <c r="P14" s="10">
        <f>I14*M13</f>
        <v>319.15349032482385</v>
      </c>
      <c r="Q14" t="str">
        <f t="shared" ca="1" si="8"/>
        <v>=I14*M13</v>
      </c>
    </row>
    <row r="15" spans="2:17" x14ac:dyDescent="0.3">
      <c r="B15" s="8">
        <v>4</v>
      </c>
      <c r="C15" s="11">
        <v>43183</v>
      </c>
      <c r="D15" s="8">
        <f t="shared" si="0"/>
        <v>28</v>
      </c>
      <c r="E15" s="8">
        <f t="shared" ref="E15:E23" si="10">D15+E14</f>
        <v>120</v>
      </c>
      <c r="F15" s="17" t="str">
        <f t="shared" ca="1" si="9"/>
        <v>=D15+E14</v>
      </c>
      <c r="G15" s="8">
        <f t="shared" si="1"/>
        <v>0.888487047915689</v>
      </c>
      <c r="H15" s="17" t="str">
        <f t="shared" ca="1" si="2"/>
        <v>=1/((1+$C$3)^(E15/30))</v>
      </c>
      <c r="I15" s="19">
        <f t="shared" si="3"/>
        <v>2.7972294120817809E-2</v>
      </c>
      <c r="J15" s="17" t="str">
        <f t="shared" ca="1" si="4"/>
        <v>=((1+$C$3)^(D15/30))-1</v>
      </c>
      <c r="L15" s="8">
        <v>4</v>
      </c>
      <c r="M15" s="10">
        <f t="shared" si="5"/>
        <v>8456.6022590522207</v>
      </c>
      <c r="N15" s="10">
        <f t="shared" si="6"/>
        <v>1207.8549502213486</v>
      </c>
      <c r="O15" s="10">
        <f t="shared" si="7"/>
        <v>944.87408865341467</v>
      </c>
      <c r="P15" s="10">
        <f t="shared" ref="P13:P23" si="11">I15*M14</f>
        <v>262.98086156793403</v>
      </c>
      <c r="Q15" t="str">
        <f t="shared" ca="1" si="8"/>
        <v>=I15*M14</v>
      </c>
    </row>
    <row r="16" spans="2:17" x14ac:dyDescent="0.3">
      <c r="B16" s="8">
        <v>5</v>
      </c>
      <c r="C16" s="11">
        <v>43214</v>
      </c>
      <c r="D16" s="8">
        <f t="shared" si="0"/>
        <v>31</v>
      </c>
      <c r="E16" s="8">
        <f t="shared" si="10"/>
        <v>151</v>
      </c>
      <c r="F16" s="17" t="str">
        <f t="shared" ca="1" si="9"/>
        <v>=D16+E15</v>
      </c>
      <c r="G16" s="8">
        <f t="shared" si="1"/>
        <v>0.86175928020933967</v>
      </c>
      <c r="H16" s="17" t="str">
        <f t="shared" ca="1" si="2"/>
        <v>=1/((1+$C$3)^(E16/30))</v>
      </c>
      <c r="I16" s="19">
        <f t="shared" si="3"/>
        <v>3.1015352338133573E-2</v>
      </c>
      <c r="J16" s="17" t="str">
        <f t="shared" ca="1" si="4"/>
        <v>=((1+$C$3)^(D16/30))-1</v>
      </c>
      <c r="L16" s="8">
        <v>5</v>
      </c>
      <c r="M16" s="10">
        <f t="shared" si="5"/>
        <v>7511.0318074788329</v>
      </c>
      <c r="N16" s="10">
        <f t="shared" si="6"/>
        <v>1207.8549502213486</v>
      </c>
      <c r="O16" s="10">
        <f t="shared" si="7"/>
        <v>945.57045157338769</v>
      </c>
      <c r="P16" s="10">
        <f t="shared" si="11"/>
        <v>262.28449864796096</v>
      </c>
      <c r="Q16" t="str">
        <f t="shared" ca="1" si="8"/>
        <v>=I16*M15</v>
      </c>
    </row>
    <row r="17" spans="2:17" x14ac:dyDescent="0.3">
      <c r="B17" s="8">
        <v>6</v>
      </c>
      <c r="C17" s="11">
        <v>43244</v>
      </c>
      <c r="D17" s="8">
        <f t="shared" si="0"/>
        <v>30</v>
      </c>
      <c r="E17" s="8">
        <f t="shared" si="10"/>
        <v>181</v>
      </c>
      <c r="F17" s="17" t="str">
        <f t="shared" ca="1" si="9"/>
        <v>=D17+E16</v>
      </c>
      <c r="G17" s="8">
        <f t="shared" si="1"/>
        <v>0.83665949534887352</v>
      </c>
      <c r="H17" s="17" t="str">
        <f t="shared" ca="1" si="2"/>
        <v>=1/((1+$C$3)^(E17/30))</v>
      </c>
      <c r="I17" s="19">
        <f t="shared" si="3"/>
        <v>3.0000000000000027E-2</v>
      </c>
      <c r="J17" s="17" t="str">
        <f t="shared" ca="1" si="4"/>
        <v>=((1+$C$3)^(D17/30))-1</v>
      </c>
      <c r="L17" s="8">
        <v>6</v>
      </c>
      <c r="M17" s="10">
        <f t="shared" si="5"/>
        <v>6528.5078114818498</v>
      </c>
      <c r="N17" s="10">
        <f t="shared" si="6"/>
        <v>1207.8549502213486</v>
      </c>
      <c r="O17" s="10">
        <f t="shared" si="7"/>
        <v>982.52399599698344</v>
      </c>
      <c r="P17" s="10">
        <f t="shared" si="11"/>
        <v>225.3309542243652</v>
      </c>
      <c r="Q17" t="str">
        <f t="shared" ca="1" si="8"/>
        <v>=I17*M16</v>
      </c>
    </row>
    <row r="18" spans="2:17" x14ac:dyDescent="0.3">
      <c r="B18" s="8">
        <v>7</v>
      </c>
      <c r="C18" s="11">
        <v>43275</v>
      </c>
      <c r="D18" s="8">
        <f t="shared" si="0"/>
        <v>31</v>
      </c>
      <c r="E18" s="8">
        <f t="shared" si="10"/>
        <v>212</v>
      </c>
      <c r="F18" s="17" t="str">
        <f t="shared" ca="1" si="9"/>
        <v>=D18+E17</v>
      </c>
      <c r="G18" s="8">
        <f t="shared" si="1"/>
        <v>0.81149082159785457</v>
      </c>
      <c r="H18" s="17" t="str">
        <f t="shared" ca="1" si="2"/>
        <v>=1/((1+$C$3)^(E18/30))</v>
      </c>
      <c r="I18" s="19">
        <f t="shared" si="3"/>
        <v>3.1015352338133573E-2</v>
      </c>
      <c r="J18" s="17" t="str">
        <f t="shared" ca="1" si="4"/>
        <v>=((1+$C$3)^(D18/30))-1</v>
      </c>
      <c r="L18" s="8">
        <v>7</v>
      </c>
      <c r="M18" s="10">
        <f t="shared" si="5"/>
        <v>5523.1368312758677</v>
      </c>
      <c r="N18" s="10">
        <f t="shared" si="6"/>
        <v>1207.8549502213486</v>
      </c>
      <c r="O18" s="10">
        <f t="shared" si="7"/>
        <v>1005.3709802059818</v>
      </c>
      <c r="P18" s="10">
        <f t="shared" si="11"/>
        <v>202.48397001536688</v>
      </c>
      <c r="Q18" t="str">
        <f t="shared" ca="1" si="8"/>
        <v>=I18*M17</v>
      </c>
    </row>
    <row r="19" spans="2:17" x14ac:dyDescent="0.3">
      <c r="B19" s="8">
        <v>8</v>
      </c>
      <c r="C19" s="11">
        <v>43305</v>
      </c>
      <c r="D19" s="8">
        <f t="shared" si="0"/>
        <v>30</v>
      </c>
      <c r="E19" s="8">
        <f t="shared" si="10"/>
        <v>242</v>
      </c>
      <c r="F19" s="17" t="str">
        <f t="shared" ca="1" si="9"/>
        <v>=D19+E18</v>
      </c>
      <c r="G19" s="8">
        <f t="shared" si="1"/>
        <v>0.78785516659985866</v>
      </c>
      <c r="H19" s="17" t="str">
        <f t="shared" ca="1" si="2"/>
        <v>=1/((1+$C$3)^(E19/30))</v>
      </c>
      <c r="I19" s="19">
        <f t="shared" si="3"/>
        <v>3.0000000000000027E-2</v>
      </c>
      <c r="J19" s="17" t="str">
        <f t="shared" ca="1" si="4"/>
        <v>=((1+$C$3)^(D19/30))-1</v>
      </c>
      <c r="L19" s="8">
        <v>8</v>
      </c>
      <c r="M19" s="10">
        <f t="shared" si="5"/>
        <v>4480.9759859927954</v>
      </c>
      <c r="N19" s="10">
        <f t="shared" si="6"/>
        <v>1207.8549502213486</v>
      </c>
      <c r="O19" s="10">
        <f t="shared" si="7"/>
        <v>1042.1608452830724</v>
      </c>
      <c r="P19" s="10">
        <f t="shared" si="11"/>
        <v>165.69410493827618</v>
      </c>
      <c r="Q19" t="str">
        <f t="shared" ca="1" si="8"/>
        <v>=I19*M18</v>
      </c>
    </row>
    <row r="20" spans="2:17" x14ac:dyDescent="0.3">
      <c r="B20" s="8">
        <v>9</v>
      </c>
      <c r="C20" s="11">
        <v>43336</v>
      </c>
      <c r="D20" s="8">
        <f t="shared" si="0"/>
        <v>31</v>
      </c>
      <c r="E20" s="8">
        <f t="shared" si="10"/>
        <v>273</v>
      </c>
      <c r="F20" s="17" t="str">
        <f t="shared" ca="1" si="9"/>
        <v>=D20+E19</v>
      </c>
      <c r="G20" s="8">
        <f t="shared" si="1"/>
        <v>0.76415464116335718</v>
      </c>
      <c r="H20" s="17" t="str">
        <f t="shared" ca="1" si="2"/>
        <v>=1/((1+$C$3)^(E20/30))</v>
      </c>
      <c r="I20" s="19">
        <f t="shared" si="3"/>
        <v>3.1015352338133573E-2</v>
      </c>
      <c r="J20" s="17" t="str">
        <f t="shared" ca="1" si="4"/>
        <v>=((1+$C$3)^(D20/30))-1</v>
      </c>
      <c r="L20" s="8">
        <v>9</v>
      </c>
      <c r="M20" s="10">
        <f t="shared" si="5"/>
        <v>3412.1000847957284</v>
      </c>
      <c r="N20" s="10">
        <f t="shared" si="6"/>
        <v>1207.8549502213486</v>
      </c>
      <c r="O20" s="10">
        <f t="shared" si="7"/>
        <v>1068.8759011970667</v>
      </c>
      <c r="P20" s="10">
        <f t="shared" si="11"/>
        <v>138.97904902428203</v>
      </c>
      <c r="Q20" t="str">
        <f t="shared" ca="1" si="8"/>
        <v>=I20*M19</v>
      </c>
    </row>
    <row r="21" spans="2:17" x14ac:dyDescent="0.3">
      <c r="B21" s="8">
        <v>10</v>
      </c>
      <c r="C21" s="11">
        <v>43367</v>
      </c>
      <c r="D21" s="8">
        <f t="shared" si="0"/>
        <v>31</v>
      </c>
      <c r="E21" s="8">
        <f t="shared" si="10"/>
        <v>304</v>
      </c>
      <c r="F21" s="17" t="str">
        <f t="shared" ca="1" si="9"/>
        <v>=D21+E20</v>
      </c>
      <c r="G21" s="8">
        <f t="shared" si="1"/>
        <v>0.74116708294440958</v>
      </c>
      <c r="H21" s="17" t="str">
        <f t="shared" ca="1" si="2"/>
        <v>=1/((1+$C$3)^(E21/30))</v>
      </c>
      <c r="I21" s="19">
        <f t="shared" si="3"/>
        <v>3.1015352338133573E-2</v>
      </c>
      <c r="J21" s="17" t="str">
        <f t="shared" ca="1" si="4"/>
        <v>=((1+$C$3)^(D21/30))-1</v>
      </c>
      <c r="L21" s="8">
        <v>10</v>
      </c>
      <c r="M21" s="10">
        <f t="shared" si="5"/>
        <v>2310.0726209172944</v>
      </c>
      <c r="N21" s="10">
        <f t="shared" si="6"/>
        <v>1207.8549502213486</v>
      </c>
      <c r="O21" s="10">
        <f t="shared" si="7"/>
        <v>1102.0274638784338</v>
      </c>
      <c r="P21" s="10">
        <f t="shared" si="11"/>
        <v>105.82748634291495</v>
      </c>
      <c r="Q21" t="str">
        <f t="shared" ca="1" si="8"/>
        <v>=I21*M20</v>
      </c>
    </row>
    <row r="22" spans="2:17" x14ac:dyDescent="0.3">
      <c r="B22" s="8">
        <v>11</v>
      </c>
      <c r="C22" s="11">
        <v>43397</v>
      </c>
      <c r="D22" s="8">
        <f t="shared" si="0"/>
        <v>30</v>
      </c>
      <c r="E22" s="8">
        <f t="shared" si="10"/>
        <v>334</v>
      </c>
      <c r="F22" s="17" t="str">
        <f t="shared" ca="1" si="9"/>
        <v>=D22+E21</v>
      </c>
      <c r="G22" s="8">
        <f t="shared" si="1"/>
        <v>0.7195796921790385</v>
      </c>
      <c r="H22" s="17" t="str">
        <f t="shared" ca="1" si="2"/>
        <v>=1/((1+$C$3)^(E22/30))</v>
      </c>
      <c r="I22" s="19">
        <f t="shared" si="3"/>
        <v>3.0000000000000027E-2</v>
      </c>
      <c r="J22" s="17" t="str">
        <f t="shared" ca="1" si="4"/>
        <v>=((1+$C$3)^(D22/30))-1</v>
      </c>
      <c r="L22" s="8">
        <v>11</v>
      </c>
      <c r="M22" s="10">
        <f t="shared" si="5"/>
        <v>1171.5198493234648</v>
      </c>
      <c r="N22" s="10">
        <f t="shared" si="6"/>
        <v>1207.8549502213486</v>
      </c>
      <c r="O22" s="10">
        <f t="shared" si="7"/>
        <v>1138.5527715938297</v>
      </c>
      <c r="P22" s="10">
        <f t="shared" si="11"/>
        <v>69.302178627518899</v>
      </c>
      <c r="Q22" t="str">
        <f t="shared" ca="1" si="8"/>
        <v>=I22*M21</v>
      </c>
    </row>
    <row r="23" spans="2:17" x14ac:dyDescent="0.3">
      <c r="B23" s="8">
        <v>12</v>
      </c>
      <c r="C23" s="11">
        <v>43428</v>
      </c>
      <c r="D23" s="8">
        <f t="shared" si="0"/>
        <v>31</v>
      </c>
      <c r="E23" s="8">
        <f t="shared" si="10"/>
        <v>365</v>
      </c>
      <c r="F23" s="17" t="str">
        <f t="shared" ca="1" si="9"/>
        <v>=D23+E22</v>
      </c>
      <c r="G23" s="8">
        <f t="shared" si="1"/>
        <v>0.69793305264289018</v>
      </c>
      <c r="H23" s="17" t="str">
        <f t="shared" ca="1" si="2"/>
        <v>=1/((1+$C$3)^(E23/30))</v>
      </c>
      <c r="I23" s="19">
        <f t="shared" si="3"/>
        <v>3.1015352338133573E-2</v>
      </c>
      <c r="J23" s="17" t="str">
        <f t="shared" ca="1" si="4"/>
        <v>=((1+$C$3)^(D23/30))-1</v>
      </c>
      <c r="L23" s="8">
        <v>12</v>
      </c>
      <c r="M23" s="18">
        <f t="shared" si="5"/>
        <v>0</v>
      </c>
      <c r="N23" s="10">
        <f t="shared" si="6"/>
        <v>1207.8549502213486</v>
      </c>
      <c r="O23" s="10">
        <f t="shared" si="7"/>
        <v>1171.5198493234643</v>
      </c>
      <c r="P23" s="10">
        <f t="shared" si="11"/>
        <v>36.335100897884416</v>
      </c>
      <c r="Q23" t="str">
        <f t="shared" ca="1" si="8"/>
        <v>=I23*M22</v>
      </c>
    </row>
  </sheetData>
  <mergeCells count="3">
    <mergeCell ref="E2:H2"/>
    <mergeCell ref="M4:N4"/>
    <mergeCell ref="L9:P9"/>
  </mergeCells>
  <pageMargins left="0.511811024" right="0.511811024" top="0.78740157499999996" bottom="0.78740157499999996" header="0.31496062000000002" footer="0.31496062000000002"/>
  <ignoredErrors>
    <ignoredError sqref="G12 G13:G23 I12 I13:I2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7A81-AF72-4B6C-9B1A-16F84721987B}">
  <dimension ref="B2:M31"/>
  <sheetViews>
    <sheetView topLeftCell="D1" zoomScale="150" zoomScaleNormal="150" workbookViewId="0">
      <selection activeCell="L5" sqref="L5"/>
    </sheetView>
  </sheetViews>
  <sheetFormatPr defaultRowHeight="14.4" x14ac:dyDescent="0.3"/>
  <cols>
    <col min="2" max="6" width="17" customWidth="1"/>
    <col min="7" max="7" width="22.21875" hidden="1" customWidth="1"/>
    <col min="8" max="8" width="15.33203125" customWidth="1"/>
    <col min="9" max="9" width="21.44140625" hidden="1" customWidth="1"/>
    <col min="11" max="12" width="14.5546875" customWidth="1"/>
  </cols>
  <sheetData>
    <row r="2" spans="2:13" x14ac:dyDescent="0.3">
      <c r="B2" t="s">
        <v>19</v>
      </c>
      <c r="C2" s="3">
        <v>11352.68</v>
      </c>
      <c r="D2" s="2" t="s">
        <v>13</v>
      </c>
      <c r="F2" s="52"/>
      <c r="G2" s="52"/>
      <c r="H2" s="52"/>
      <c r="I2" s="52"/>
    </row>
    <row r="3" spans="2:13" x14ac:dyDescent="0.3">
      <c r="B3" t="s">
        <v>6</v>
      </c>
      <c r="C3" s="5">
        <v>2.29E-2</v>
      </c>
      <c r="D3" s="2" t="s">
        <v>59</v>
      </c>
    </row>
    <row r="4" spans="2:13" x14ac:dyDescent="0.3">
      <c r="B4" t="s">
        <v>60</v>
      </c>
      <c r="C4" s="2">
        <v>20</v>
      </c>
      <c r="D4" s="2" t="s">
        <v>61</v>
      </c>
      <c r="F4" s="52"/>
      <c r="G4" s="52"/>
      <c r="H4" s="52"/>
      <c r="I4" s="52"/>
    </row>
    <row r="5" spans="2:13" x14ac:dyDescent="0.3">
      <c r="B5" t="s">
        <v>16</v>
      </c>
      <c r="C5" s="16">
        <f>C2/F31</f>
        <v>716.28707928693007</v>
      </c>
      <c r="D5" s="2" t="s">
        <v>62</v>
      </c>
      <c r="E5" t="str">
        <f ca="1">_xlfn.FORMULATEXT(C5)</f>
        <v>=C2/F31</v>
      </c>
      <c r="K5" t="s">
        <v>14</v>
      </c>
      <c r="L5" s="6">
        <f>((1+C3)^12)-1</f>
        <v>0.31219428910972091</v>
      </c>
    </row>
    <row r="6" spans="2:13" x14ac:dyDescent="0.3">
      <c r="B6" t="s">
        <v>20</v>
      </c>
      <c r="C6" s="14">
        <v>43201</v>
      </c>
      <c r="K6" s="2" t="s">
        <v>50</v>
      </c>
      <c r="L6" s="6">
        <f>XIRR(L10:L30,K10:K30)</f>
        <v>0.54520266652107252</v>
      </c>
      <c r="M6" t="str">
        <f ca="1">_xlfn.FORMULATEXT(L6)</f>
        <v>=XTIR(L10:L30;K10:K30)</v>
      </c>
    </row>
    <row r="7" spans="2:13" x14ac:dyDescent="0.3">
      <c r="B7" t="s">
        <v>25</v>
      </c>
      <c r="C7" s="14">
        <v>43231</v>
      </c>
      <c r="K7" s="2" t="s">
        <v>63</v>
      </c>
      <c r="L7" s="6">
        <f>((1+L6)^(30/365))-1</f>
        <v>3.641347437236897E-2</v>
      </c>
      <c r="M7" t="str">
        <f ca="1">_xlfn.FORMULATEXT(L7)</f>
        <v>=((1+L6)^(30/365))-1</v>
      </c>
    </row>
    <row r="9" spans="2:13" x14ac:dyDescent="0.3">
      <c r="B9" s="37" t="s">
        <v>2</v>
      </c>
      <c r="C9" s="37" t="s">
        <v>44</v>
      </c>
      <c r="D9" s="37" t="s">
        <v>15</v>
      </c>
      <c r="E9" s="37" t="s">
        <v>57</v>
      </c>
      <c r="F9" s="37" t="s">
        <v>29</v>
      </c>
      <c r="G9" s="51"/>
      <c r="H9" s="37" t="s">
        <v>64</v>
      </c>
      <c r="K9" s="37" t="s">
        <v>44</v>
      </c>
      <c r="L9" s="37" t="s">
        <v>65</v>
      </c>
    </row>
    <row r="10" spans="2:13" x14ac:dyDescent="0.3">
      <c r="B10" s="8">
        <v>0</v>
      </c>
      <c r="C10" s="11">
        <v>43201</v>
      </c>
      <c r="D10" s="8"/>
      <c r="E10" s="8"/>
      <c r="F10" s="8"/>
      <c r="H10" s="17"/>
      <c r="K10" s="11">
        <v>43201</v>
      </c>
      <c r="L10" s="10">
        <v>10000</v>
      </c>
    </row>
    <row r="11" spans="2:13" x14ac:dyDescent="0.3">
      <c r="B11" s="8">
        <v>1</v>
      </c>
      <c r="C11" s="11">
        <v>43231</v>
      </c>
      <c r="D11" s="8">
        <f>C11-C10</f>
        <v>30</v>
      </c>
      <c r="E11" s="8">
        <f>C11-$C$10</f>
        <v>30</v>
      </c>
      <c r="F11" s="8">
        <f>1/(1+$C$3)^(E11/30)</f>
        <v>0.97761266986020146</v>
      </c>
      <c r="G11" t="str">
        <f ca="1">_xlfn.FORMULATEXT(F11)</f>
        <v>=1/(1+$C$3)^(E11/30)</v>
      </c>
      <c r="H11" s="39">
        <f>((1+$C$3)^(D11/30))-1</f>
        <v>2.289999999999992E-2</v>
      </c>
      <c r="I11" t="str">
        <f ca="1">_xlfn.FORMULATEXT(H11)</f>
        <v>=((1+$C$3)^(D11/30))-1</v>
      </c>
      <c r="K11" s="11">
        <v>43231</v>
      </c>
      <c r="L11" s="58">
        <f>-$C$5</f>
        <v>-716.28707928693007</v>
      </c>
    </row>
    <row r="12" spans="2:13" x14ac:dyDescent="0.3">
      <c r="B12" s="8">
        <v>2</v>
      </c>
      <c r="C12" s="11">
        <v>43262</v>
      </c>
      <c r="D12" s="8">
        <f>C12-C11</f>
        <v>31</v>
      </c>
      <c r="E12" s="8">
        <f>C12-$C$10</f>
        <v>61</v>
      </c>
      <c r="F12" s="8">
        <f t="shared" ref="F12:F30" si="0">1/(1+$C$3)^(E12/30)</f>
        <v>0.95500549431263382</v>
      </c>
      <c r="G12" t="str">
        <f t="shared" ref="G12:G22" ca="1" si="1">_xlfn.FORMULATEXT(F12)</f>
        <v>=1/(1+$C$3)^(E12/30)</v>
      </c>
      <c r="H12" s="39">
        <f>((1+$C$3)^(D12/30))-1</f>
        <v>2.3672298936708414E-2</v>
      </c>
      <c r="I12" t="str">
        <f t="shared" ref="I12:I30" ca="1" si="2">_xlfn.FORMULATEXT(H12)</f>
        <v>=((1+$C$3)^(D12/30))-1</v>
      </c>
      <c r="K12" s="11">
        <v>43262</v>
      </c>
      <c r="L12" s="58">
        <f t="shared" ref="L12:L30" si="3">-$C$5</f>
        <v>-716.28707928693007</v>
      </c>
    </row>
    <row r="13" spans="2:13" x14ac:dyDescent="0.3">
      <c r="B13" s="8">
        <v>3</v>
      </c>
      <c r="C13" s="11">
        <v>43292</v>
      </c>
      <c r="D13" s="8">
        <f>C13-C12</f>
        <v>30</v>
      </c>
      <c r="E13" s="8">
        <f t="shared" ref="E13:E30" si="4">C13-$C$10</f>
        <v>91</v>
      </c>
      <c r="F13" s="8">
        <f t="shared" si="0"/>
        <v>0.93362547102613547</v>
      </c>
      <c r="G13" t="str">
        <f t="shared" ca="1" si="1"/>
        <v>=1/(1+$C$3)^(E13/30)</v>
      </c>
      <c r="H13" s="39">
        <f t="shared" ref="H13:H30" si="5">((1+$C$3)^(D13/30))-1</f>
        <v>2.289999999999992E-2</v>
      </c>
      <c r="I13" t="str">
        <f t="shared" ca="1" si="2"/>
        <v>=((1+$C$3)^(D13/30))-1</v>
      </c>
      <c r="K13" s="11">
        <v>43292</v>
      </c>
      <c r="L13" s="58">
        <f t="shared" si="3"/>
        <v>-716.28707928693007</v>
      </c>
    </row>
    <row r="14" spans="2:13" x14ac:dyDescent="0.3">
      <c r="B14" s="8">
        <v>4</v>
      </c>
      <c r="C14" s="11">
        <v>43323</v>
      </c>
      <c r="D14" s="8">
        <f t="shared" ref="D14:D30" si="6">C14-C13</f>
        <v>31</v>
      </c>
      <c r="E14" s="8">
        <f t="shared" si="4"/>
        <v>122</v>
      </c>
      <c r="F14" s="8">
        <f t="shared" si="0"/>
        <v>0.91203549416731822</v>
      </c>
      <c r="G14" t="str">
        <f t="shared" ca="1" si="1"/>
        <v>=1/(1+$C$3)^(E14/30)</v>
      </c>
      <c r="H14" s="39">
        <f t="shared" si="5"/>
        <v>2.3672298936708414E-2</v>
      </c>
      <c r="I14" t="str">
        <f t="shared" ca="1" si="2"/>
        <v>=((1+$C$3)^(D14/30))-1</v>
      </c>
      <c r="K14" s="11">
        <v>43323</v>
      </c>
      <c r="L14" s="58">
        <f t="shared" si="3"/>
        <v>-716.28707928693007</v>
      </c>
    </row>
    <row r="15" spans="2:13" x14ac:dyDescent="0.3">
      <c r="B15" s="8">
        <v>5</v>
      </c>
      <c r="C15" s="11">
        <v>43354</v>
      </c>
      <c r="D15" s="8">
        <f t="shared" si="6"/>
        <v>31</v>
      </c>
      <c r="E15" s="8">
        <f t="shared" si="4"/>
        <v>153</v>
      </c>
      <c r="F15" s="8">
        <f t="shared" si="0"/>
        <v>0.89094478292970547</v>
      </c>
      <c r="G15" t="str">
        <f t="shared" ca="1" si="1"/>
        <v>=1/(1+$C$3)^(E15/30)</v>
      </c>
      <c r="H15" s="39">
        <f t="shared" si="5"/>
        <v>2.3672298936708414E-2</v>
      </c>
      <c r="I15" t="str">
        <f t="shared" ca="1" si="2"/>
        <v>=((1+$C$3)^(D15/30))-1</v>
      </c>
      <c r="K15" s="11">
        <v>43354</v>
      </c>
      <c r="L15" s="58">
        <f t="shared" si="3"/>
        <v>-716.28707928693007</v>
      </c>
    </row>
    <row r="16" spans="2:13" x14ac:dyDescent="0.3">
      <c r="B16" s="8">
        <v>6</v>
      </c>
      <c r="C16" s="11">
        <v>43384</v>
      </c>
      <c r="D16" s="8">
        <f t="shared" si="6"/>
        <v>30</v>
      </c>
      <c r="E16" s="8">
        <f t="shared" si="4"/>
        <v>183</v>
      </c>
      <c r="F16" s="8">
        <f t="shared" si="0"/>
        <v>0.870998907937927</v>
      </c>
      <c r="G16" t="str">
        <f t="shared" ca="1" si="1"/>
        <v>=1/(1+$C$3)^(E16/30)</v>
      </c>
      <c r="H16" s="39">
        <f t="shared" si="5"/>
        <v>2.289999999999992E-2</v>
      </c>
      <c r="I16" t="str">
        <f t="shared" ca="1" si="2"/>
        <v>=((1+$C$3)^(D16/30))-1</v>
      </c>
      <c r="K16" s="11">
        <v>43384</v>
      </c>
      <c r="L16" s="58">
        <f t="shared" si="3"/>
        <v>-716.28707928693007</v>
      </c>
    </row>
    <row r="17" spans="2:12" x14ac:dyDescent="0.3">
      <c r="B17" s="8">
        <v>7</v>
      </c>
      <c r="C17" s="11">
        <v>43415</v>
      </c>
      <c r="D17" s="8">
        <f t="shared" si="6"/>
        <v>31</v>
      </c>
      <c r="E17" s="8">
        <f t="shared" si="4"/>
        <v>214</v>
      </c>
      <c r="F17" s="8">
        <f t="shared" si="0"/>
        <v>0.85085716282704571</v>
      </c>
      <c r="G17" t="str">
        <f t="shared" ca="1" si="1"/>
        <v>=1/(1+$C$3)^(E17/30)</v>
      </c>
      <c r="H17" s="39">
        <f t="shared" si="5"/>
        <v>2.3672298936708414E-2</v>
      </c>
      <c r="I17" t="str">
        <f t="shared" ca="1" si="2"/>
        <v>=((1+$C$3)^(D17/30))-1</v>
      </c>
      <c r="K17" s="11">
        <v>43415</v>
      </c>
      <c r="L17" s="58">
        <f t="shared" si="3"/>
        <v>-716.28707928693007</v>
      </c>
    </row>
    <row r="18" spans="2:12" x14ac:dyDescent="0.3">
      <c r="B18" s="8">
        <v>8</v>
      </c>
      <c r="C18" s="11">
        <v>43445</v>
      </c>
      <c r="D18" s="8">
        <f t="shared" si="6"/>
        <v>30</v>
      </c>
      <c r="E18" s="8">
        <f t="shared" si="4"/>
        <v>244</v>
      </c>
      <c r="F18" s="8">
        <f t="shared" si="0"/>
        <v>0.83180874262102433</v>
      </c>
      <c r="G18" t="str">
        <f t="shared" ca="1" si="1"/>
        <v>=1/(1+$C$3)^(E18/30)</v>
      </c>
      <c r="H18" s="39">
        <f t="shared" si="5"/>
        <v>2.289999999999992E-2</v>
      </c>
      <c r="I18" t="str">
        <f t="shared" ca="1" si="2"/>
        <v>=((1+$C$3)^(D18/30))-1</v>
      </c>
      <c r="K18" s="11">
        <v>43445</v>
      </c>
      <c r="L18" s="58">
        <f t="shared" si="3"/>
        <v>-716.28707928693007</v>
      </c>
    </row>
    <row r="19" spans="2:12" x14ac:dyDescent="0.3">
      <c r="B19" s="8">
        <v>9</v>
      </c>
      <c r="C19" s="11">
        <v>43476</v>
      </c>
      <c r="D19" s="8">
        <f t="shared" si="6"/>
        <v>31</v>
      </c>
      <c r="E19" s="8">
        <f t="shared" si="4"/>
        <v>275</v>
      </c>
      <c r="F19" s="8">
        <f t="shared" si="0"/>
        <v>0.81257326537508801</v>
      </c>
      <c r="G19" t="str">
        <f t="shared" ca="1" si="1"/>
        <v>=1/(1+$C$3)^(E19/30)</v>
      </c>
      <c r="H19" s="39">
        <f t="shared" si="5"/>
        <v>2.3672298936708414E-2</v>
      </c>
      <c r="I19" t="str">
        <f t="shared" ca="1" si="2"/>
        <v>=((1+$C$3)^(D19/30))-1</v>
      </c>
      <c r="K19" s="11">
        <v>43476</v>
      </c>
      <c r="L19" s="58">
        <f t="shared" si="3"/>
        <v>-716.28707928693007</v>
      </c>
    </row>
    <row r="20" spans="2:12" x14ac:dyDescent="0.3">
      <c r="B20" s="8">
        <v>10</v>
      </c>
      <c r="C20" s="11">
        <v>43507</v>
      </c>
      <c r="D20" s="8">
        <f t="shared" si="6"/>
        <v>31</v>
      </c>
      <c r="E20" s="8">
        <f t="shared" si="4"/>
        <v>306</v>
      </c>
      <c r="F20" s="8">
        <f t="shared" si="0"/>
        <v>0.79378260622966001</v>
      </c>
      <c r="G20" t="str">
        <f t="shared" ca="1" si="1"/>
        <v>=1/(1+$C$3)^(E20/30)</v>
      </c>
      <c r="H20" s="39">
        <f t="shared" si="5"/>
        <v>2.3672298936708414E-2</v>
      </c>
      <c r="I20" t="str">
        <f t="shared" ca="1" si="2"/>
        <v>=((1+$C$3)^(D20/30))-1</v>
      </c>
      <c r="K20" s="11">
        <v>43507</v>
      </c>
      <c r="L20" s="58">
        <f t="shared" si="3"/>
        <v>-716.28707928693007</v>
      </c>
    </row>
    <row r="21" spans="2:12" x14ac:dyDescent="0.3">
      <c r="B21" s="8">
        <v>11</v>
      </c>
      <c r="C21" s="11">
        <v>43535</v>
      </c>
      <c r="D21" s="8">
        <f t="shared" si="6"/>
        <v>28</v>
      </c>
      <c r="E21" s="8">
        <f t="shared" si="4"/>
        <v>334</v>
      </c>
      <c r="F21" s="8">
        <f t="shared" si="0"/>
        <v>0.77718416765866805</v>
      </c>
      <c r="G21" t="str">
        <f t="shared" ca="1" si="1"/>
        <v>=1/(1+$C$3)^(E21/30)</v>
      </c>
      <c r="H21" s="39">
        <f t="shared" si="5"/>
        <v>2.1357149645747642E-2</v>
      </c>
      <c r="I21" t="str">
        <f t="shared" ca="1" si="2"/>
        <v>=((1+$C$3)^(D21/30))-1</v>
      </c>
      <c r="K21" s="11">
        <v>43535</v>
      </c>
      <c r="L21" s="58">
        <f t="shared" si="3"/>
        <v>-716.28707928693007</v>
      </c>
    </row>
    <row r="22" spans="2:12" x14ac:dyDescent="0.3">
      <c r="B22" s="8">
        <v>12</v>
      </c>
      <c r="C22" s="11">
        <v>43566</v>
      </c>
      <c r="D22" s="8">
        <f t="shared" si="6"/>
        <v>31</v>
      </c>
      <c r="E22" s="8">
        <f t="shared" si="4"/>
        <v>365</v>
      </c>
      <c r="F22" s="8">
        <f t="shared" si="0"/>
        <v>0.75921187714655525</v>
      </c>
      <c r="G22" t="str">
        <f t="shared" ca="1" si="1"/>
        <v>=1/(1+$C$3)^(E22/30)</v>
      </c>
      <c r="H22" s="39">
        <f t="shared" si="5"/>
        <v>2.3672298936708414E-2</v>
      </c>
      <c r="I22" t="str">
        <f t="shared" ca="1" si="2"/>
        <v>=((1+$C$3)^(D22/30))-1</v>
      </c>
      <c r="K22" s="11">
        <v>43566</v>
      </c>
      <c r="L22" s="58">
        <f t="shared" si="3"/>
        <v>-716.28707928693007</v>
      </c>
    </row>
    <row r="23" spans="2:12" x14ac:dyDescent="0.3">
      <c r="B23" s="8">
        <v>13</v>
      </c>
      <c r="C23" s="11">
        <v>43596</v>
      </c>
      <c r="D23" s="8">
        <f t="shared" si="6"/>
        <v>30</v>
      </c>
      <c r="E23" s="8">
        <f t="shared" si="4"/>
        <v>395</v>
      </c>
      <c r="F23" s="8">
        <f>1/(1+$C$3)^(E23/30)</f>
        <v>0.74221515020681916</v>
      </c>
      <c r="G23" t="str">
        <f ca="1">_xlfn.FORMULATEXT(F31)</f>
        <v>=SOMA(F11:F30)</v>
      </c>
      <c r="H23" s="39">
        <f t="shared" si="5"/>
        <v>2.289999999999992E-2</v>
      </c>
      <c r="I23" t="str">
        <f t="shared" ca="1" si="2"/>
        <v>=((1+$C$3)^(D23/30))-1</v>
      </c>
      <c r="K23" s="11">
        <v>43596</v>
      </c>
      <c r="L23" s="58">
        <f t="shared" si="3"/>
        <v>-716.28707928693007</v>
      </c>
    </row>
    <row r="24" spans="2:12" x14ac:dyDescent="0.3">
      <c r="B24" s="8">
        <v>14</v>
      </c>
      <c r="C24" s="11">
        <v>43627</v>
      </c>
      <c r="D24" s="8">
        <f t="shared" si="6"/>
        <v>31</v>
      </c>
      <c r="E24" s="8">
        <f t="shared" si="4"/>
        <v>426</v>
      </c>
      <c r="F24" s="8">
        <f t="shared" si="0"/>
        <v>0.72505151402236856</v>
      </c>
      <c r="H24" s="39">
        <f t="shared" si="5"/>
        <v>2.3672298936708414E-2</v>
      </c>
      <c r="I24" t="str">
        <f t="shared" ca="1" si="2"/>
        <v>=((1+$C$3)^(D24/30))-1</v>
      </c>
      <c r="K24" s="11">
        <v>43627</v>
      </c>
      <c r="L24" s="58">
        <f t="shared" si="3"/>
        <v>-716.28707928693007</v>
      </c>
    </row>
    <row r="25" spans="2:12" x14ac:dyDescent="0.3">
      <c r="B25" s="8">
        <v>15</v>
      </c>
      <c r="C25" s="11">
        <v>43657</v>
      </c>
      <c r="D25" s="8">
        <f t="shared" si="6"/>
        <v>30</v>
      </c>
      <c r="E25" s="8">
        <f t="shared" si="4"/>
        <v>456</v>
      </c>
      <c r="F25" s="8">
        <f t="shared" si="0"/>
        <v>0.70881954640958911</v>
      </c>
      <c r="H25" s="39">
        <f t="shared" si="5"/>
        <v>2.289999999999992E-2</v>
      </c>
      <c r="I25" t="str">
        <f t="shared" ca="1" si="2"/>
        <v>=((1+$C$3)^(D25/30))-1</v>
      </c>
      <c r="K25" s="11">
        <v>43657</v>
      </c>
      <c r="L25" s="58">
        <f t="shared" si="3"/>
        <v>-716.28707928693007</v>
      </c>
    </row>
    <row r="26" spans="2:12" x14ac:dyDescent="0.3">
      <c r="B26" s="8">
        <v>16</v>
      </c>
      <c r="C26" s="11">
        <v>43688</v>
      </c>
      <c r="D26" s="8">
        <f t="shared" si="6"/>
        <v>31</v>
      </c>
      <c r="E26" s="8">
        <f t="shared" si="4"/>
        <v>487</v>
      </c>
      <c r="F26" s="8">
        <f t="shared" si="0"/>
        <v>0.69242817955105573</v>
      </c>
      <c r="H26" s="39">
        <f t="shared" si="5"/>
        <v>2.3672298936708414E-2</v>
      </c>
      <c r="I26" t="str">
        <f t="shared" ca="1" si="2"/>
        <v>=((1+$C$3)^(D26/30))-1</v>
      </c>
      <c r="K26" s="11">
        <v>43688</v>
      </c>
      <c r="L26" s="58">
        <f t="shared" si="3"/>
        <v>-716.28707928693007</v>
      </c>
    </row>
    <row r="27" spans="2:12" x14ac:dyDescent="0.3">
      <c r="B27" s="8">
        <v>17</v>
      </c>
      <c r="C27" s="11">
        <v>43719</v>
      </c>
      <c r="D27" s="8">
        <f t="shared" si="6"/>
        <v>31</v>
      </c>
      <c r="E27" s="8">
        <f t="shared" si="4"/>
        <v>518</v>
      </c>
      <c r="F27" s="8">
        <f t="shared" si="0"/>
        <v>0.67641586108199181</v>
      </c>
      <c r="H27" s="39">
        <f t="shared" si="5"/>
        <v>2.3672298936708414E-2</v>
      </c>
      <c r="I27" t="str">
        <f t="shared" ca="1" si="2"/>
        <v>=((1+$C$3)^(D27/30))-1</v>
      </c>
      <c r="K27" s="11">
        <v>43719</v>
      </c>
      <c r="L27" s="58">
        <f t="shared" si="3"/>
        <v>-716.28707928693007</v>
      </c>
    </row>
    <row r="28" spans="2:12" x14ac:dyDescent="0.3">
      <c r="B28" s="8">
        <v>18</v>
      </c>
      <c r="C28" s="11">
        <v>43749</v>
      </c>
      <c r="D28" s="8">
        <f t="shared" si="6"/>
        <v>30</v>
      </c>
      <c r="E28" s="8">
        <f t="shared" si="4"/>
        <v>548</v>
      </c>
      <c r="F28" s="8">
        <f t="shared" si="0"/>
        <v>0.66127271588815317</v>
      </c>
      <c r="H28" s="39">
        <f t="shared" si="5"/>
        <v>2.289999999999992E-2</v>
      </c>
      <c r="I28" t="str">
        <f t="shared" ca="1" si="2"/>
        <v>=((1+$C$3)^(D28/30))-1</v>
      </c>
      <c r="K28" s="11">
        <v>43749</v>
      </c>
      <c r="L28" s="58">
        <f t="shared" si="3"/>
        <v>-716.28707928693007</v>
      </c>
    </row>
    <row r="29" spans="2:12" x14ac:dyDescent="0.3">
      <c r="B29" s="8">
        <v>19</v>
      </c>
      <c r="C29" s="11">
        <v>43780</v>
      </c>
      <c r="D29" s="8">
        <f t="shared" si="6"/>
        <v>31</v>
      </c>
      <c r="E29" s="8">
        <f t="shared" si="4"/>
        <v>579</v>
      </c>
      <c r="F29" s="8">
        <f t="shared" si="0"/>
        <v>0.64598086377351349</v>
      </c>
      <c r="H29" s="39">
        <f t="shared" si="5"/>
        <v>2.3672298936708414E-2</v>
      </c>
      <c r="I29" t="str">
        <f t="shared" ca="1" si="2"/>
        <v>=((1+$C$3)^(D29/30))-1</v>
      </c>
      <c r="K29" s="11">
        <v>43780</v>
      </c>
      <c r="L29" s="58">
        <f t="shared" si="3"/>
        <v>-716.28707928693007</v>
      </c>
    </row>
    <row r="30" spans="2:12" x14ac:dyDescent="0.3">
      <c r="B30" s="8">
        <v>20</v>
      </c>
      <c r="C30" s="11">
        <v>43810</v>
      </c>
      <c r="D30" s="8">
        <f t="shared" si="6"/>
        <v>30</v>
      </c>
      <c r="E30" s="8">
        <f t="shared" si="4"/>
        <v>609</v>
      </c>
      <c r="F30" s="8">
        <f t="shared" si="0"/>
        <v>0.63151907691222364</v>
      </c>
      <c r="H30" s="39">
        <f t="shared" si="5"/>
        <v>2.289999999999992E-2</v>
      </c>
      <c r="I30" t="str">
        <f t="shared" ca="1" si="2"/>
        <v>=((1+$C$3)^(D30/30))-1</v>
      </c>
      <c r="K30" s="11">
        <v>43810</v>
      </c>
      <c r="L30" s="58">
        <f t="shared" si="3"/>
        <v>-716.28707928693007</v>
      </c>
    </row>
    <row r="31" spans="2:12" x14ac:dyDescent="0.3">
      <c r="F31" s="40">
        <f>SUM(F11:F30)</f>
        <v>15.849343549937675</v>
      </c>
    </row>
  </sheetData>
  <mergeCells count="4">
    <mergeCell ref="F2:G2"/>
    <mergeCell ref="H2:I2"/>
    <mergeCell ref="F4:G4"/>
    <mergeCell ref="H4:I4"/>
  </mergeCells>
  <pageMargins left="0.511811024" right="0.511811024" top="0.78740157499999996" bottom="0.78740157499999996" header="0.31496062000000002" footer="0.31496062000000002"/>
  <ignoredErrors>
    <ignoredError sqref="H11:H3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9D9C-F21C-493B-90A9-7182AD8059F9}">
  <dimension ref="B2:D16"/>
  <sheetViews>
    <sheetView tabSelected="1" zoomScale="150" zoomScaleNormal="150" workbookViewId="0">
      <selection activeCell="C16" sqref="C16"/>
    </sheetView>
  </sheetViews>
  <sheetFormatPr defaultRowHeight="14.4" x14ac:dyDescent="0.3"/>
  <cols>
    <col min="1" max="1" width="8.88671875" style="26"/>
    <col min="2" max="2" width="16.88671875" style="26" bestFit="1" customWidth="1"/>
    <col min="3" max="3" width="12" style="26" bestFit="1" customWidth="1"/>
    <col min="4" max="4" width="31.88671875" style="26" bestFit="1" customWidth="1"/>
    <col min="5" max="16384" width="8.88671875" style="26"/>
  </cols>
  <sheetData>
    <row r="2" spans="2:4" x14ac:dyDescent="0.3">
      <c r="B2" s="26" t="s">
        <v>66</v>
      </c>
      <c r="C2" s="43">
        <v>42137</v>
      </c>
    </row>
    <row r="3" spans="2:4" x14ac:dyDescent="0.3">
      <c r="B3" s="26" t="s">
        <v>25</v>
      </c>
      <c r="C3" s="43">
        <v>42217</v>
      </c>
    </row>
    <row r="4" spans="2:4" x14ac:dyDescent="0.3">
      <c r="B4" s="26" t="s">
        <v>12</v>
      </c>
      <c r="C4" s="43">
        <v>42186</v>
      </c>
    </row>
    <row r="5" spans="2:4" x14ac:dyDescent="0.3">
      <c r="B5" s="26" t="s">
        <v>21</v>
      </c>
      <c r="C5" s="44">
        <f>C4-C2</f>
        <v>49</v>
      </c>
    </row>
    <row r="7" spans="2:4" x14ac:dyDescent="0.3">
      <c r="B7" s="26" t="s">
        <v>6</v>
      </c>
      <c r="C7" s="45">
        <v>1.84E-2</v>
      </c>
    </row>
    <row r="8" spans="2:4" x14ac:dyDescent="0.3">
      <c r="B8" s="46" t="s">
        <v>11</v>
      </c>
      <c r="C8" s="47">
        <v>17573.990000000002</v>
      </c>
      <c r="D8" s="26" t="s">
        <v>67</v>
      </c>
    </row>
    <row r="9" spans="2:4" x14ac:dyDescent="0.3">
      <c r="B9" s="26" t="s">
        <v>5</v>
      </c>
      <c r="C9" s="44">
        <v>48</v>
      </c>
    </row>
    <row r="11" spans="2:4" x14ac:dyDescent="0.3">
      <c r="B11" s="26" t="s">
        <v>68</v>
      </c>
      <c r="C11" s="48">
        <f>((1+C7)^(C5/30))-1</f>
        <v>3.0228052738632938E-2</v>
      </c>
    </row>
    <row r="12" spans="2:4" x14ac:dyDescent="0.3">
      <c r="B12" s="46" t="s">
        <v>69</v>
      </c>
      <c r="C12" s="47">
        <f>C11*C8</f>
        <v>531.22749654820791</v>
      </c>
    </row>
    <row r="14" spans="2:4" x14ac:dyDescent="0.3">
      <c r="B14" s="26" t="s">
        <v>70</v>
      </c>
      <c r="C14" s="49">
        <f>C8+C12</f>
        <v>18105.217496548208</v>
      </c>
      <c r="D14" s="26" t="s">
        <v>71</v>
      </c>
    </row>
    <row r="16" spans="2:4" x14ac:dyDescent="0.3">
      <c r="B16" s="46" t="s">
        <v>16</v>
      </c>
      <c r="C16" s="50">
        <f>PMT(C7,C9,-C14)</f>
        <v>571.21102043768099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Correção</vt:lpstr>
      <vt:lpstr>Atividade 1</vt:lpstr>
      <vt:lpstr>CET</vt:lpstr>
      <vt:lpstr>Atividade 2</vt:lpstr>
      <vt:lpstr>Série não periódica</vt:lpstr>
      <vt:lpstr>Atividade 3</vt:lpstr>
      <vt:lpstr>Atividade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Fumaux Mendes De Oliveira</dc:creator>
  <cp:lastModifiedBy>ANDERSON FUMAUX</cp:lastModifiedBy>
  <dcterms:created xsi:type="dcterms:W3CDTF">2025-11-21T22:47:18Z</dcterms:created>
  <dcterms:modified xsi:type="dcterms:W3CDTF">2026-08-19T21:02:54Z</dcterms:modified>
</cp:coreProperties>
</file>