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eu Drive\CRC-ES\2026\Contabilização IBS e CBS\"/>
    </mc:Choice>
  </mc:AlternateContent>
  <xr:revisionPtr revIDLastSave="0" documentId="13_ncr:1_{F397F9AB-2346-419D-A337-70C5B4CC274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struções" sheetId="1" r:id="rId1"/>
    <sheet name="Premissas" sheetId="2" r:id="rId2"/>
    <sheet name="Débitos" sheetId="3" r:id="rId3"/>
    <sheet name="Créditos" sheetId="4" r:id="rId4"/>
    <sheet name="Apuração" sheetId="5" r:id="rId5"/>
    <sheet name="Lançamentos" sheetId="6" r:id="rId6"/>
    <sheet name="Controles" sheetId="7" r:id="rId7"/>
    <sheet name="2026 e 2027" sheetId="8" r:id="rId8"/>
    <sheet name="Venda" sheetId="9" r:id="rId9"/>
    <sheet name="Split a vista" sheetId="10" r:id="rId10"/>
    <sheet name="SPLIT Parcelado" sheetId="12" r:id="rId11"/>
    <sheet name="DARF" sheetId="11" r:id="rId12"/>
    <sheet name="DARF2" sheetId="13" r:id="rId13"/>
    <sheet name="Adiantamento" sheetId="14" r:id="rId14"/>
    <sheet name="2026 - Teste com recolhimento" sheetId="15" r:id="rId15"/>
    <sheet name="IS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6" l="1"/>
  <c r="I4" i="16"/>
  <c r="E9" i="16"/>
  <c r="E8" i="16"/>
  <c r="E11" i="16" s="1"/>
  <c r="E10" i="16"/>
  <c r="E7" i="16"/>
  <c r="E6" i="16"/>
  <c r="E5" i="16"/>
  <c r="I15" i="15"/>
  <c r="I14" i="15"/>
  <c r="I9" i="15"/>
  <c r="I8" i="15"/>
  <c r="I7" i="15"/>
  <c r="E9" i="15"/>
  <c r="E6" i="15"/>
  <c r="I5" i="15" s="1"/>
  <c r="E5" i="15"/>
  <c r="I13" i="15" s="1"/>
  <c r="E4" i="15"/>
  <c r="E8" i="15" s="1"/>
  <c r="I2" i="15"/>
  <c r="E7" i="15" l="1"/>
  <c r="I6" i="15"/>
  <c r="I11" i="15"/>
  <c r="I12" i="15"/>
  <c r="D11" i="14" l="1"/>
  <c r="D12" i="14"/>
  <c r="D13" i="14"/>
  <c r="C3" i="14"/>
  <c r="D8" i="14" s="1"/>
  <c r="D8" i="13"/>
  <c r="F4" i="13"/>
  <c r="E4" i="13"/>
  <c r="D4" i="13"/>
  <c r="H9" i="12"/>
  <c r="H10" i="12"/>
  <c r="H11" i="12"/>
  <c r="H12" i="12"/>
  <c r="H13" i="12"/>
  <c r="H14" i="12"/>
  <c r="H15" i="12"/>
  <c r="H8" i="12"/>
  <c r="O26" i="12"/>
  <c r="O27" i="12"/>
  <c r="O22" i="12"/>
  <c r="M20" i="12"/>
  <c r="P18" i="12"/>
  <c r="O18" i="12"/>
  <c r="O17" i="12"/>
  <c r="O16" i="12"/>
  <c r="M15" i="12"/>
  <c r="O13" i="12"/>
  <c r="O12" i="12"/>
  <c r="O11" i="12"/>
  <c r="M10" i="12"/>
  <c r="M5" i="12"/>
  <c r="O8" i="12"/>
  <c r="O7" i="12"/>
  <c r="O6" i="12"/>
  <c r="G7" i="12"/>
  <c r="I5" i="12"/>
  <c r="I6" i="12" s="1"/>
  <c r="G6" i="12" s="1"/>
  <c r="F4" i="12"/>
  <c r="E4" i="12"/>
  <c r="D4" i="12"/>
  <c r="C5" i="12"/>
  <c r="D5" i="12" s="1"/>
  <c r="B6" i="12"/>
  <c r="B8" i="12" s="1"/>
  <c r="B9" i="12" s="1"/>
  <c r="B10" i="12" s="1"/>
  <c r="B11" i="12" s="1"/>
  <c r="B12" i="12" s="1"/>
  <c r="B13" i="12" s="1"/>
  <c r="B14" i="12" s="1"/>
  <c r="B15" i="12" s="1"/>
  <c r="H8" i="11"/>
  <c r="K3" i="11"/>
  <c r="D12" i="11"/>
  <c r="D9" i="11"/>
  <c r="F5" i="11"/>
  <c r="E5" i="11"/>
  <c r="D5" i="11"/>
  <c r="F4" i="11"/>
  <c r="E4" i="11"/>
  <c r="D4" i="11"/>
  <c r="H17" i="10"/>
  <c r="H18" i="10" s="1"/>
  <c r="H15" i="10"/>
  <c r="H14" i="10"/>
  <c r="H10" i="10"/>
  <c r="H11" i="10"/>
  <c r="D16" i="10"/>
  <c r="D15" i="10"/>
  <c r="D14" i="10"/>
  <c r="D12" i="10"/>
  <c r="D11" i="10"/>
  <c r="D10" i="10"/>
  <c r="K4" i="10"/>
  <c r="J4" i="10"/>
  <c r="I4" i="10"/>
  <c r="D6" i="10"/>
  <c r="G6" i="10" s="1"/>
  <c r="E6" i="10"/>
  <c r="I6" i="10" s="1"/>
  <c r="F6" i="10"/>
  <c r="F5" i="10"/>
  <c r="H5" i="10" s="1"/>
  <c r="K6" i="10" s="1"/>
  <c r="E5" i="10"/>
  <c r="D5" i="10"/>
  <c r="D14" i="9"/>
  <c r="D13" i="9"/>
  <c r="D12" i="9"/>
  <c r="I20" i="8"/>
  <c r="I19" i="8"/>
  <c r="I17" i="8"/>
  <c r="I16" i="8"/>
  <c r="I15" i="8"/>
  <c r="I14" i="8"/>
  <c r="E8" i="8"/>
  <c r="I2" i="8"/>
  <c r="E6" i="8"/>
  <c r="I8" i="8" s="1"/>
  <c r="E5" i="8"/>
  <c r="I10" i="8" s="1"/>
  <c r="E4" i="8"/>
  <c r="F8" i="6"/>
  <c r="E8" i="6"/>
  <c r="D8" i="6"/>
  <c r="E7" i="6"/>
  <c r="D7" i="6"/>
  <c r="F6" i="6"/>
  <c r="D6" i="6"/>
  <c r="F5" i="6"/>
  <c r="E5" i="6"/>
  <c r="F4" i="6"/>
  <c r="E4" i="6"/>
  <c r="E6" i="5"/>
  <c r="E5" i="5"/>
  <c r="E4" i="5"/>
  <c r="H8" i="4"/>
  <c r="G8" i="4"/>
  <c r="F8" i="4"/>
  <c r="E8" i="4"/>
  <c r="G7" i="4"/>
  <c r="F7" i="4"/>
  <c r="E7" i="4"/>
  <c r="H7" i="4" s="1"/>
  <c r="G6" i="4"/>
  <c r="H6" i="4" s="1"/>
  <c r="F6" i="4"/>
  <c r="E6" i="4"/>
  <c r="G5" i="4"/>
  <c r="F5" i="4"/>
  <c r="E5" i="4"/>
  <c r="H5" i="4" s="1"/>
  <c r="D4" i="4"/>
  <c r="G4" i="4" s="1"/>
  <c r="C4" i="4"/>
  <c r="C14" i="3"/>
  <c r="B8" i="3"/>
  <c r="C6" i="3"/>
  <c r="C5" i="3"/>
  <c r="C4" i="3"/>
  <c r="C7" i="3" s="1"/>
  <c r="B4" i="3"/>
  <c r="B17" i="2"/>
  <c r="B15" i="2"/>
  <c r="B5" i="3" s="1"/>
  <c r="D5" i="3" s="1"/>
  <c r="B14" i="2"/>
  <c r="D3" i="14" l="1"/>
  <c r="G4" i="13"/>
  <c r="D7" i="13" s="1"/>
  <c r="H4" i="13"/>
  <c r="D12" i="13" s="1"/>
  <c r="D13" i="13" s="1"/>
  <c r="D9" i="13"/>
  <c r="G4" i="12"/>
  <c r="F5" i="12"/>
  <c r="E5" i="12"/>
  <c r="C6" i="12"/>
  <c r="H4" i="11"/>
  <c r="D10" i="11" s="1"/>
  <c r="G4" i="11"/>
  <c r="D8" i="11" s="1"/>
  <c r="I5" i="11"/>
  <c r="I3" i="11"/>
  <c r="D13" i="11"/>
  <c r="G5" i="11"/>
  <c r="D14" i="11" s="1"/>
  <c r="K5" i="11"/>
  <c r="J7" i="10"/>
  <c r="K7" i="10" s="1"/>
  <c r="I7" i="10"/>
  <c r="G5" i="10"/>
  <c r="I7" i="8"/>
  <c r="I6" i="8"/>
  <c r="I9" i="8"/>
  <c r="I5" i="8"/>
  <c r="I12" i="8" s="1"/>
  <c r="E15" i="8"/>
  <c r="E6" i="6"/>
  <c r="B5" i="5"/>
  <c r="B16" i="6"/>
  <c r="C6" i="7"/>
  <c r="C17" i="6"/>
  <c r="D5" i="7"/>
  <c r="C6" i="5"/>
  <c r="F11" i="6"/>
  <c r="F10" i="6"/>
  <c r="F9" i="6"/>
  <c r="D4" i="7"/>
  <c r="B18" i="2"/>
  <c r="D4" i="3"/>
  <c r="B6" i="3"/>
  <c r="D6" i="3" s="1"/>
  <c r="D4" i="6"/>
  <c r="D8" i="3"/>
  <c r="C12" i="3"/>
  <c r="B16" i="2"/>
  <c r="E4" i="4"/>
  <c r="F4" i="4"/>
  <c r="E3" i="14" l="1"/>
  <c r="D6" i="14" s="1"/>
  <c r="D7" i="14"/>
  <c r="I4" i="13"/>
  <c r="I3" i="13" s="1"/>
  <c r="C8" i="12"/>
  <c r="C9" i="12" s="1"/>
  <c r="C10" i="12" s="1"/>
  <c r="C11" i="12" s="1"/>
  <c r="C12" i="12" s="1"/>
  <c r="C13" i="12" s="1"/>
  <c r="C14" i="12" s="1"/>
  <c r="C15" i="12" s="1"/>
  <c r="D6" i="12"/>
  <c r="H6" i="12" s="1"/>
  <c r="E6" i="12"/>
  <c r="F6" i="12"/>
  <c r="H5" i="12"/>
  <c r="J5" i="12" s="1"/>
  <c r="J6" i="12" s="1"/>
  <c r="G5" i="12"/>
  <c r="G3" i="12" s="1"/>
  <c r="H9" i="11"/>
  <c r="J3" i="11"/>
  <c r="E19" i="8"/>
  <c r="E16" i="8"/>
  <c r="E18" i="8"/>
  <c r="E21" i="8"/>
  <c r="E20" i="8"/>
  <c r="E17" i="8"/>
  <c r="C15" i="6"/>
  <c r="H4" i="4"/>
  <c r="D11" i="6"/>
  <c r="C4" i="5"/>
  <c r="B5" i="7"/>
  <c r="D10" i="6"/>
  <c r="D9" i="6"/>
  <c r="B4" i="7"/>
  <c r="B4" i="5"/>
  <c r="D7" i="3"/>
  <c r="C13" i="3" s="1"/>
  <c r="D5" i="6"/>
  <c r="B6" i="7"/>
  <c r="B15" i="6"/>
  <c r="D15" i="6" s="1"/>
  <c r="F15" i="6" s="1"/>
  <c r="D16" i="6"/>
  <c r="F16" i="6" s="1"/>
  <c r="C16" i="6"/>
  <c r="E11" i="6"/>
  <c r="E10" i="6"/>
  <c r="C5" i="7"/>
  <c r="C5" i="5"/>
  <c r="D5" i="5" s="1"/>
  <c r="C7" i="7" s="1"/>
  <c r="C4" i="7"/>
  <c r="E9" i="6"/>
  <c r="B17" i="6"/>
  <c r="D17" i="6" s="1"/>
  <c r="F17" i="6" s="1"/>
  <c r="B6" i="5"/>
  <c r="D6" i="5" s="1"/>
  <c r="D7" i="7" s="1"/>
  <c r="F7" i="6"/>
  <c r="D6" i="7"/>
  <c r="B7" i="3"/>
  <c r="J4" i="13" l="1"/>
  <c r="E22" i="8"/>
  <c r="D4" i="5"/>
  <c r="B7" i="5"/>
  <c r="E4" i="7"/>
  <c r="E5" i="7"/>
  <c r="E6" i="7"/>
  <c r="C7" i="5"/>
  <c r="B7" i="7" l="1"/>
  <c r="E7" i="7" s="1"/>
  <c r="D7" i="5"/>
</calcChain>
</file>

<file path=xl/sharedStrings.xml><?xml version="1.0" encoding="utf-8"?>
<sst xmlns="http://schemas.openxmlformats.org/spreadsheetml/2006/main" count="674" uniqueCount="245">
  <si>
    <t>MATRIZ DE SIMULAÇÃO CONTÁBIL - REGIME REGULAR IBS/CBS</t>
  </si>
  <si>
    <t>Objetivo: simular, de forma auditável, os débitos de CBS, IBS-UF e IBS-Município, os créditos nas entradas e os lançamentos de compensação, pagamento direto, split payment, recolhimento pelo adquirente e terceiro responsável.</t>
  </si>
  <si>
    <t>Como usar</t>
  </si>
  <si>
    <t>1</t>
  </si>
  <si>
    <t>Edite apenas as células azuis da aba Premissas.</t>
  </si>
  <si>
    <t>2</t>
  </si>
  <si>
    <t>Inclua as aquisições na aba Créditos e informe se há direito a crédito.</t>
  </si>
  <si>
    <t>3</t>
  </si>
  <si>
    <t>Confira o saldo por tributo na aba Apuração antes de escolher a forma de extinção.</t>
  </si>
  <si>
    <t>4</t>
  </si>
  <si>
    <t>Use a aba Lançamentos como matriz orientativa e adapte o plano de contas da empresa.</t>
  </si>
  <si>
    <t>5</t>
  </si>
  <si>
    <t>Premissas e alíquotas são didáticas; validar enquadramento legal e documento fiscal.</t>
  </si>
  <si>
    <t>Fontes técnicas: Orientação Técnica CFC nº 01/2026, itens 9 a 15 e 18 a 24; GEIFS - Contabilização - julho 2026. Esta planilha não substitui a análise fiscal de cada operação.</t>
  </si>
  <si>
    <t>PREMISSAS EDITÁVEIS</t>
  </si>
  <si>
    <t>Premissa</t>
  </si>
  <si>
    <t>Valor</t>
  </si>
  <si>
    <t>Observação</t>
  </si>
  <si>
    <t>Preço total ao cliente</t>
  </si>
  <si>
    <t>Valor final da NF, preservado na simulação</t>
  </si>
  <si>
    <t>CBS - alíquota</t>
  </si>
  <si>
    <t>Premissa didática</t>
  </si>
  <si>
    <t>IBS-UF - alíquota</t>
  </si>
  <si>
    <t>IBS-Mun - alíquota</t>
  </si>
  <si>
    <t>Compra elegível sem tributos</t>
  </si>
  <si>
    <t>Base da aquisição com crédito integral</t>
  </si>
  <si>
    <t>Percentual elegível a crédito</t>
  </si>
  <si>
    <t>0% a 100%, conforme operação</t>
  </si>
  <si>
    <t>Demais tributos no DAS</t>
  </si>
  <si>
    <t>Aplicável apenas se a empresa permanecer no Simples</t>
  </si>
  <si>
    <t>Modalidade de extinção</t>
  </si>
  <si>
    <t>Compensação</t>
  </si>
  <si>
    <t>Controle gerencial: Compensação, Direto, Split, Adquirente ou Terceiro</t>
  </si>
  <si>
    <t>Parâmetros calculados</t>
  </si>
  <si>
    <t>Alíquota total IBS/CBS</t>
  </si>
  <si>
    <t>Preço-base sem IBS/CBS</t>
  </si>
  <si>
    <t>CBS destacado</t>
  </si>
  <si>
    <t>IBS-UF destacado</t>
  </si>
  <si>
    <t>IBS-Mun destacado</t>
  </si>
  <si>
    <t>Células azuis são as entradas da simulação. Todas as abas seguintes usam fórmulas ligadas a estes parâmetros.</t>
  </si>
  <si>
    <t>DÉBITOS DE IBS E CBS NAS SAÍDAS</t>
  </si>
  <si>
    <t>Componente</t>
  </si>
  <si>
    <t>Base de cálculo</t>
  </si>
  <si>
    <t>Alíquota</t>
  </si>
  <si>
    <t>Débito na saída</t>
  </si>
  <si>
    <t>Conta contábil</t>
  </si>
  <si>
    <t>D/C</t>
  </si>
  <si>
    <t>Lançamento</t>
  </si>
  <si>
    <t>Documento</t>
  </si>
  <si>
    <t>CBS</t>
  </si>
  <si>
    <t>CBS a Recolher</t>
  </si>
  <si>
    <t>C</t>
  </si>
  <si>
    <t>Venda a prazo/à vista</t>
  </si>
  <si>
    <t>NF de saída</t>
  </si>
  <si>
    <t>IBS-UF</t>
  </si>
  <si>
    <t>IBS-UF a Recolher</t>
  </si>
  <si>
    <t>IBS-Mun</t>
  </si>
  <si>
    <t>IBS-Mun a Recolher</t>
  </si>
  <si>
    <t>TOTAL</t>
  </si>
  <si>
    <t>Passivo tributário</t>
  </si>
  <si>
    <t>Registro da venda</t>
  </si>
  <si>
    <t>Receita líquida</t>
  </si>
  <si>
    <t>Receita de Vendas</t>
  </si>
  <si>
    <t>Lançamento consolidado da venda</t>
  </si>
  <si>
    <t>Débito</t>
  </si>
  <si>
    <t>Crédito</t>
  </si>
  <si>
    <t>Histórico</t>
  </si>
  <si>
    <t>Clientes / Caixa</t>
  </si>
  <si>
    <t>Valor líquido de IBS/CBS</t>
  </si>
  <si>
    <t>CBS, IBS-UF e IBS-Mun a Recolher</t>
  </si>
  <si>
    <t>Tributos destacados na NF</t>
  </si>
  <si>
    <t>Total da Nota</t>
  </si>
  <si>
    <t>Conferência</t>
  </si>
  <si>
    <t>CONTROLE DE CRÉDITOS NAS ENTRADAS</t>
  </si>
  <si>
    <t>Descrição</t>
  </si>
  <si>
    <t>Base sem tributos</t>
  </si>
  <si>
    <t>% Elegível</t>
  </si>
  <si>
    <t>CBS a Apropriar</t>
  </si>
  <si>
    <t>IBS-UF a Apropriar</t>
  </si>
  <si>
    <t>IBS-Mun a Apropriar</t>
  </si>
  <si>
    <t>Total a Apropriar</t>
  </si>
  <si>
    <t>Status</t>
  </si>
  <si>
    <t>Compra 001</t>
  </si>
  <si>
    <t>Mercadorias para revenda</t>
  </si>
  <si>
    <t>A Apropriar</t>
  </si>
  <si>
    <t>Preencha novas compras nas linhas abaixo</t>
  </si>
  <si>
    <t>Compra 002</t>
  </si>
  <si>
    <t>Compra 003</t>
  </si>
  <si>
    <t>Compra 004</t>
  </si>
  <si>
    <t>Reclassificação do crédito quando implementada a condição fiscal</t>
  </si>
  <si>
    <t>Fase</t>
  </si>
  <si>
    <t>Efeito</t>
  </si>
  <si>
    <t>Reconhecimento inicial</t>
  </si>
  <si>
    <t>CBS/IBS a Apropriar</t>
  </si>
  <si>
    <t>Fornecedores / Caixa</t>
  </si>
  <si>
    <t>Valor do crédito</t>
  </si>
  <si>
    <t>Ativo em controle transitório</t>
  </si>
  <si>
    <t>Apropriação</t>
  </si>
  <si>
    <t>CBS/IBS a Recuperar</t>
  </si>
  <si>
    <t>Mesmo valor</t>
  </si>
  <si>
    <t>Sem alterar o total do ativo</t>
  </si>
  <si>
    <t>APURAÇÃO E EXTINÇÃO DOS DÉBITOS</t>
  </si>
  <si>
    <t>Débitos nas saídas</t>
  </si>
  <si>
    <t>Créditos apropriados</t>
  </si>
  <si>
    <t>Saldo a recolher</t>
  </si>
  <si>
    <t>Forma de extinção</t>
  </si>
  <si>
    <t>Conta de baixa</t>
  </si>
  <si>
    <t>CBS a Recuperar / Bancos / Caixa</t>
  </si>
  <si>
    <t>IBS-UF a Recuperar / Bancos / Caixa</t>
  </si>
  <si>
    <t>IBS-Mun a Recuperar / Bancos / Caixa</t>
  </si>
  <si>
    <t>-</t>
  </si>
  <si>
    <t>Matriz de baixa por modalidade</t>
  </si>
  <si>
    <t>Modalidade</t>
  </si>
  <si>
    <t>Baixa do passivo</t>
  </si>
  <si>
    <t>Crédito/caixa</t>
  </si>
  <si>
    <t>Efeito na DFC</t>
  </si>
  <si>
    <t>Ponto de controle</t>
  </si>
  <si>
    <t>D IBS/CBS a Recolher</t>
  </si>
  <si>
    <t>C IBS/CBS a Recuperar</t>
  </si>
  <si>
    <t>Sem saída de caixa</t>
  </si>
  <si>
    <t>Vínculo entre crédito e débito</t>
  </si>
  <si>
    <t>Pagamento direto</t>
  </si>
  <si>
    <t>C Bancos</t>
  </si>
  <si>
    <t>Saída operacional</t>
  </si>
  <si>
    <t>Comprovante de pagamento</t>
  </si>
  <si>
    <t>Split payment</t>
  </si>
  <si>
    <t>C Clientes + D Caixa líquido</t>
  </si>
  <si>
    <t>Sem fluxo do tributo para vendedor</t>
  </si>
  <si>
    <t>Confirmação da segregação</t>
  </si>
  <si>
    <t>Pelo adquirente</t>
  </si>
  <si>
    <t>C Clientes</t>
  </si>
  <si>
    <t>Sem caixa do tributo para vendedor</t>
  </si>
  <si>
    <t>Comprovante do adquirente</t>
  </si>
  <si>
    <t>Terceiro responsável</t>
  </si>
  <si>
    <t>Passivo permanece até liquidação</t>
  </si>
  <si>
    <t>Ativo de reembolso somente se praticamente certo</t>
  </si>
  <si>
    <t>Conforme liquidação</t>
  </si>
  <si>
    <t>Evidência jurídica e financeira</t>
  </si>
  <si>
    <t>O saldo a recolher é demonstrado por componente. A forma de extinção deve ser documentada para cada apuração e não altera o reconhecimento inicial do passivo na venda.</t>
  </si>
  <si>
    <t>MATRIZ DE LANÇAMENTOS CONTÁBEIS - REGIME REGULAR</t>
  </si>
  <si>
    <t>Evento</t>
  </si>
  <si>
    <t>Venda</t>
  </si>
  <si>
    <t>Receita líquida dos tributos</t>
  </si>
  <si>
    <t>Tributo destacado</t>
  </si>
  <si>
    <t>Compra elegível</t>
  </si>
  <si>
    <t>Estoques / Despesa</t>
  </si>
  <si>
    <t>Valor sem tributos</t>
  </si>
  <si>
    <t>Direito sujeito à apropriação</t>
  </si>
  <si>
    <t>Reclassificação</t>
  </si>
  <si>
    <t>CBS/IBS a Recolher</t>
  </si>
  <si>
    <t>Até o limite dos créditos</t>
  </si>
  <si>
    <t>Saldo após a compensação</t>
  </si>
  <si>
    <t>Lançamento de pagamento</t>
  </si>
  <si>
    <t>D CBS a Recolher | C Bancos</t>
  </si>
  <si>
    <t>D IBS-UF a Recolher | C Bancos</t>
  </si>
  <si>
    <t>D IBS-Mun a Recolher | C Bancos</t>
  </si>
  <si>
    <t>Para split payment, recolhimento pelo adquirente e terceiro responsável, consulte a aba Apuração. A matriz mostra os lançamentos-base; a liquidação deve refletir o comprovante e a responsabilidade legal da operação.</t>
  </si>
  <si>
    <t>CONTROLES E CONCILIAÇÕES</t>
  </si>
  <si>
    <t>Conta de controle</t>
  </si>
  <si>
    <t>Total</t>
  </si>
  <si>
    <t>Conciliação</t>
  </si>
  <si>
    <t>Créditos a Apropriar</t>
  </si>
  <si>
    <t>Por documento e condição fiscal</t>
  </si>
  <si>
    <t>Créditos a Recuperar</t>
  </si>
  <si>
    <t>Aptos à compensação</t>
  </si>
  <si>
    <t>Débitos a Recolher</t>
  </si>
  <si>
    <t>Por período de apuração</t>
  </si>
  <si>
    <t>Saldo líquido a Recolher</t>
  </si>
  <si>
    <t>Após compensação</t>
  </si>
  <si>
    <t>OK</t>
  </si>
  <si>
    <t>Sem diferenças</t>
  </si>
  <si>
    <t>Checklist de fechamento</t>
  </si>
  <si>
    <t>Verificação</t>
  </si>
  <si>
    <t>Resultado</t>
  </si>
  <si>
    <t>Responsável</t>
  </si>
  <si>
    <t>Evidência</t>
  </si>
  <si>
    <t>NF de saída conciliada com débitos</t>
  </si>
  <si>
    <t>Pendente</t>
  </si>
  <si>
    <t>NF de entrada conciliada com créditos</t>
  </si>
  <si>
    <t>Crédito a apropriar reclassificado quando aplicável</t>
  </si>
  <si>
    <t>Forma de extinção documentada</t>
  </si>
  <si>
    <t>Fontes técnicas: Orientação Técnica CFC nº 01/2026, itens 9 a 15 e 18 a 24;  Esta planilha não substitui a análise fiscal de cada operação.</t>
  </si>
  <si>
    <t>Preço de venda</t>
  </si>
  <si>
    <t>PIS</t>
  </si>
  <si>
    <t>COFINS</t>
  </si>
  <si>
    <t>ICMS</t>
  </si>
  <si>
    <t>Lucro Real</t>
  </si>
  <si>
    <t>D</t>
  </si>
  <si>
    <t>Clientes</t>
  </si>
  <si>
    <t>Receita Bruta</t>
  </si>
  <si>
    <t>ICMS a Recolher</t>
  </si>
  <si>
    <t>PIS Recolher</t>
  </si>
  <si>
    <t>COFINS a Recolher</t>
  </si>
  <si>
    <t>Receita sem impostos sobre venda</t>
  </si>
  <si>
    <t>2027 e 2028</t>
  </si>
  <si>
    <t>IBS UF</t>
  </si>
  <si>
    <t>IBS Mun</t>
  </si>
  <si>
    <t>TOTAL NF</t>
  </si>
  <si>
    <t>IBS a Recolher</t>
  </si>
  <si>
    <t>IBS UF a Recolher</t>
  </si>
  <si>
    <t>IBS MUN a Recolher</t>
  </si>
  <si>
    <t>PLANO DE CONTAS</t>
  </si>
  <si>
    <t>Faturamento bruto</t>
  </si>
  <si>
    <t>IBS/CBS</t>
  </si>
  <si>
    <t>Operação</t>
  </si>
  <si>
    <t>Data</t>
  </si>
  <si>
    <t>Valor de Venda</t>
  </si>
  <si>
    <t>IBS MUN</t>
  </si>
  <si>
    <t>Situação</t>
  </si>
  <si>
    <t>Crédito Suportado</t>
  </si>
  <si>
    <t>Crédito a Recuperar</t>
  </si>
  <si>
    <t>Compra</t>
  </si>
  <si>
    <t>Líquido</t>
  </si>
  <si>
    <t>Split</t>
  </si>
  <si>
    <t>Apuração</t>
  </si>
  <si>
    <t>IBS/CBS a Recolher</t>
  </si>
  <si>
    <t>Estoque</t>
  </si>
  <si>
    <t>IBS/CBS Suportado</t>
  </si>
  <si>
    <t>Fornecedores</t>
  </si>
  <si>
    <t>IBS/CBS a Recuperar</t>
  </si>
  <si>
    <t xml:space="preserve">Banco </t>
  </si>
  <si>
    <t>Boleto</t>
  </si>
  <si>
    <t>Fornecedor Recebe</t>
  </si>
  <si>
    <t>Débito IVA</t>
  </si>
  <si>
    <t>Restituição</t>
  </si>
  <si>
    <t>Receita</t>
  </si>
  <si>
    <t>Cliente</t>
  </si>
  <si>
    <t>Banco</t>
  </si>
  <si>
    <t>IBS/CBS a Compensar</t>
  </si>
  <si>
    <t>DARF</t>
  </si>
  <si>
    <t>Crédito Disponível</t>
  </si>
  <si>
    <t>Adiantamento</t>
  </si>
  <si>
    <t>Promessa de Venda</t>
  </si>
  <si>
    <t>Venda sem IVA</t>
  </si>
  <si>
    <t>Adiantamento de Cliente</t>
  </si>
  <si>
    <t>Recebe o Adiantamento</t>
  </si>
  <si>
    <t>Pagou o Adiantamento</t>
  </si>
  <si>
    <t>Adiantamento a Fornecedor</t>
  </si>
  <si>
    <t>IBS/CBS suportado</t>
  </si>
  <si>
    <t>IBS - Período Teste 2026</t>
  </si>
  <si>
    <t>CBS - Período Teste 2026</t>
  </si>
  <si>
    <t>IBS UF/mun</t>
  </si>
  <si>
    <t>IS</t>
  </si>
  <si>
    <t xml:space="preserve">IS </t>
  </si>
  <si>
    <t>IS a Recolher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</si>
</sst>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;[Red]\(&quot;R$&quot;\ #,##0.00\);\-"/>
    <numFmt numFmtId="165" formatCode="0.0000%"/>
    <numFmt numFmtId="166" formatCode="0.0%"/>
    <numFmt numFmtId="171" formatCode="#,##0.00_ ;[Red]\-#,##0.00\ "/>
  </numFmts>
  <fonts count="11">
    <font>
      <sz val="11"/>
      <name val="Carlito"/>
    </font>
    <font>
      <b/>
      <sz val="16"/>
      <color rgb="FFFFFFFF"/>
      <name val="Carlito"/>
    </font>
    <font>
      <sz val="12"/>
      <color rgb="FF071B45"/>
      <name val="Carlito"/>
    </font>
    <font>
      <b/>
      <sz val="11"/>
      <color rgb="FF071B45"/>
      <name val="Carlito"/>
    </font>
    <font>
      <i/>
      <sz val="10"/>
      <color rgb="FF6B5B18"/>
      <name val="Carlito"/>
    </font>
    <font>
      <b/>
      <sz val="11"/>
      <color rgb="FFFFFFFF"/>
      <name val="Carlito"/>
    </font>
    <font>
      <sz val="11"/>
      <color rgb="FF0000FF"/>
      <name val="Carlito"/>
    </font>
    <font>
      <b/>
      <sz val="11"/>
      <color rgb="FF008000"/>
      <name val="Carlito"/>
    </font>
    <font>
      <b/>
      <sz val="11"/>
      <name val="Carlito"/>
    </font>
    <font>
      <b/>
      <i/>
      <u/>
      <sz val="11"/>
      <name val="Carlito"/>
    </font>
    <font>
      <sz val="1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71B45"/>
      </patternFill>
    </fill>
    <fill>
      <patternFill patternType="solid">
        <fgColor rgb="FFF3F6FA"/>
      </patternFill>
    </fill>
    <fill>
      <patternFill patternType="solid">
        <fgColor rgb="FFE9EFF7"/>
      </patternFill>
    </fill>
    <fill>
      <patternFill patternType="solid">
        <fgColor rgb="FFFFF7D6"/>
      </patternFill>
    </fill>
    <fill>
      <patternFill patternType="solid">
        <fgColor rgb="FF1A4C8D"/>
      </patternFill>
    </fill>
    <fill>
      <patternFill patternType="solid">
        <fgColor rgb="FFFFF2CC"/>
      </patternFill>
    </fill>
    <fill>
      <patternFill patternType="solid">
        <fgColor rgb="FFF8FAFC"/>
      </patternFill>
    </fill>
    <fill>
      <patternFill patternType="solid">
        <fgColor rgb="FFEAF4EA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rgb="FFD6DEE9"/>
      </left>
      <right style="thin">
        <color rgb="FFD6DEE9"/>
      </right>
      <top style="thin">
        <color rgb="FFD6DEE9"/>
      </top>
      <bottom style="thin">
        <color rgb="FFD6DEE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7" borderId="1" xfId="0" applyFont="1" applyFill="1" applyBorder="1" applyAlignment="1">
      <alignment vertical="center"/>
    </xf>
    <xf numFmtId="164" fontId="6" fillId="7" borderId="1" xfId="0" applyNumberFormat="1" applyFont="1" applyFill="1" applyBorder="1" applyAlignment="1">
      <alignment vertical="center"/>
    </xf>
    <xf numFmtId="165" fontId="6" fillId="7" borderId="1" xfId="0" applyNumberFormat="1" applyFont="1" applyFill="1" applyBorder="1" applyAlignment="1">
      <alignment vertical="center"/>
    </xf>
    <xf numFmtId="166" fontId="6" fillId="7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164" fontId="0" fillId="4" borderId="1" xfId="0" applyNumberFormat="1" applyFill="1" applyBorder="1" applyAlignment="1">
      <alignment vertical="center"/>
    </xf>
    <xf numFmtId="164" fontId="0" fillId="8" borderId="1" xfId="0" applyNumberFormat="1" applyFill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7" fillId="9" borderId="1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wrapText="1"/>
    </xf>
    <xf numFmtId="0" fontId="0" fillId="0" borderId="0" xfId="0"/>
    <xf numFmtId="0" fontId="3" fillId="4" borderId="0" xfId="0" applyFont="1" applyFill="1"/>
    <xf numFmtId="0" fontId="4" fillId="5" borderId="0" xfId="0" applyFont="1" applyFill="1" applyAlignment="1">
      <alignment wrapText="1"/>
    </xf>
    <xf numFmtId="4" fontId="0" fillId="0" borderId="0" xfId="0" applyNumberFormat="1"/>
    <xf numFmtId="10" fontId="0" fillId="0" borderId="0" xfId="0" applyNumberFormat="1"/>
    <xf numFmtId="9" fontId="0" fillId="0" borderId="0" xfId="0" applyNumberFormat="1"/>
    <xf numFmtId="0" fontId="8" fillId="0" borderId="0" xfId="0" applyFont="1"/>
    <xf numFmtId="4" fontId="8" fillId="0" borderId="0" xfId="0" applyNumberFormat="1" applyFont="1"/>
    <xf numFmtId="0" fontId="8" fillId="10" borderId="0" xfId="0" applyFont="1" applyFill="1"/>
    <xf numFmtId="9" fontId="8" fillId="10" borderId="0" xfId="0" applyNumberFormat="1" applyFont="1" applyFill="1"/>
    <xf numFmtId="4" fontId="8" fillId="10" borderId="0" xfId="0" applyNumberFormat="1" applyFont="1" applyFill="1"/>
    <xf numFmtId="0" fontId="9" fillId="0" borderId="0" xfId="0" applyFont="1"/>
    <xf numFmtId="4" fontId="9" fillId="0" borderId="0" xfId="0" applyNumberFormat="1" applyFont="1"/>
    <xf numFmtId="0" fontId="10" fillId="0" borderId="2" xfId="0" applyFont="1" applyBorder="1" applyAlignment="1">
      <alignment horizontal="justify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justify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justify" vertical="center" wrapText="1"/>
    </xf>
    <xf numFmtId="14" fontId="0" fillId="0" borderId="0" xfId="0" applyNumberFormat="1"/>
    <xf numFmtId="0" fontId="8" fillId="0" borderId="0" xfId="0" applyFont="1" applyAlignment="1">
      <alignment horizontal="center"/>
    </xf>
    <xf numFmtId="171" fontId="8" fillId="0" borderId="0" xfId="0" applyNumberFormat="1" applyFont="1" applyAlignment="1">
      <alignment horizontal="center"/>
    </xf>
    <xf numFmtId="171" fontId="0" fillId="0" borderId="0" xfId="0" applyNumberFormat="1"/>
    <xf numFmtId="0" fontId="8" fillId="0" borderId="0" xfId="0" applyFont="1" applyAlignment="1">
      <alignment horizontal="center" vertical="center"/>
    </xf>
    <xf numFmtId="17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71" fontId="8" fillId="0" borderId="0" xfId="0" applyNumberFormat="1" applyFont="1" applyAlignment="1">
      <alignment horizontal="right"/>
    </xf>
    <xf numFmtId="14" fontId="0" fillId="11" borderId="0" xfId="0" applyNumberFormat="1" applyFill="1"/>
    <xf numFmtId="0" fontId="0" fillId="11" borderId="0" xfId="0" applyFill="1"/>
    <xf numFmtId="171" fontId="0" fillId="11" borderId="0" xfId="0" applyNumberFormat="1" applyFill="1"/>
    <xf numFmtId="14" fontId="9" fillId="11" borderId="0" xfId="0" applyNumberFormat="1" applyFont="1" applyFill="1"/>
    <xf numFmtId="0" fontId="9" fillId="11" borderId="0" xfId="0" applyFont="1" applyFill="1"/>
    <xf numFmtId="171" fontId="9" fillId="11" borderId="0" xfId="0" applyNumberFormat="1" applyFont="1" applyFill="1"/>
    <xf numFmtId="171" fontId="0" fillId="10" borderId="0" xfId="0" applyNumberFormat="1" applyFill="1"/>
    <xf numFmtId="14" fontId="0" fillId="1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zoomScale="220" zoomScaleNormal="220" workbookViewId="0">
      <selection activeCell="B21" sqref="B21"/>
    </sheetView>
  </sheetViews>
  <sheetFormatPr defaultRowHeight="14.25"/>
  <cols>
    <col min="1" max="1" width="8" customWidth="1"/>
    <col min="2" max="2" width="95" customWidth="1"/>
    <col min="3" max="8" width="2" customWidth="1"/>
  </cols>
  <sheetData>
    <row r="1" spans="1:8" ht="27.95" customHeight="1">
      <c r="A1" s="19" t="s">
        <v>0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</row>
    <row r="3" spans="1:8">
      <c r="A3" s="20" t="s">
        <v>1</v>
      </c>
      <c r="B3" s="21"/>
      <c r="C3" s="21"/>
      <c r="D3" s="21"/>
      <c r="E3" s="21"/>
      <c r="F3" s="21"/>
      <c r="G3" s="21"/>
      <c r="H3" s="21"/>
    </row>
    <row r="4" spans="1:8">
      <c r="A4" s="21"/>
      <c r="B4" s="21"/>
      <c r="C4" s="21"/>
      <c r="D4" s="21"/>
      <c r="E4" s="21"/>
      <c r="F4" s="21"/>
      <c r="G4" s="21"/>
      <c r="H4" s="21"/>
    </row>
    <row r="5" spans="1:8">
      <c r="A5" s="21"/>
      <c r="B5" s="21"/>
      <c r="C5" s="21"/>
      <c r="D5" s="21"/>
      <c r="E5" s="21"/>
      <c r="F5" s="21"/>
      <c r="G5" s="21"/>
      <c r="H5" s="21"/>
    </row>
    <row r="6" spans="1:8">
      <c r="A6" s="21"/>
      <c r="B6" s="21"/>
      <c r="C6" s="21"/>
      <c r="D6" s="21"/>
      <c r="E6" s="21"/>
      <c r="F6" s="21"/>
      <c r="G6" s="21"/>
      <c r="H6" s="21"/>
    </row>
    <row r="7" spans="1:8">
      <c r="A7" s="21"/>
      <c r="B7" s="21"/>
      <c r="C7" s="21"/>
      <c r="D7" s="21"/>
      <c r="E7" s="21"/>
      <c r="F7" s="21"/>
      <c r="G7" s="21"/>
      <c r="H7" s="21"/>
    </row>
    <row r="9" spans="1:8" ht="21.95" customHeight="1">
      <c r="A9" s="22" t="s">
        <v>2</v>
      </c>
      <c r="B9" s="22" t="s">
        <v>2</v>
      </c>
      <c r="C9" s="22" t="s">
        <v>2</v>
      </c>
      <c r="D9" s="22" t="s">
        <v>2</v>
      </c>
      <c r="E9" s="22" t="s">
        <v>2</v>
      </c>
      <c r="F9" s="22" t="s">
        <v>2</v>
      </c>
      <c r="G9" s="22" t="s">
        <v>2</v>
      </c>
      <c r="H9" s="22" t="s">
        <v>2</v>
      </c>
    </row>
    <row r="10" spans="1:8">
      <c r="A10" s="1" t="s">
        <v>3</v>
      </c>
      <c r="B10" s="1" t="s">
        <v>4</v>
      </c>
      <c r="C10" s="1"/>
      <c r="D10" s="1"/>
      <c r="E10" s="1"/>
      <c r="F10" s="1"/>
      <c r="G10" s="1"/>
      <c r="H10" s="1"/>
    </row>
    <row r="11" spans="1:8">
      <c r="A11" s="1" t="s">
        <v>5</v>
      </c>
      <c r="B11" s="1" t="s">
        <v>6</v>
      </c>
      <c r="C11" s="1"/>
      <c r="D11" s="1"/>
      <c r="E11" s="1"/>
      <c r="F11" s="1"/>
      <c r="G11" s="1"/>
      <c r="H11" s="1"/>
    </row>
    <row r="12" spans="1:8">
      <c r="A12" s="1" t="s">
        <v>7</v>
      </c>
      <c r="B12" s="1" t="s">
        <v>8</v>
      </c>
      <c r="C12" s="1"/>
      <c r="D12" s="1"/>
      <c r="E12" s="1"/>
      <c r="F12" s="1"/>
      <c r="G12" s="1"/>
      <c r="H12" s="1"/>
    </row>
    <row r="13" spans="1:8">
      <c r="A13" s="1" t="s">
        <v>9</v>
      </c>
      <c r="B13" s="1" t="s">
        <v>10</v>
      </c>
      <c r="C13" s="1"/>
      <c r="D13" s="1"/>
      <c r="E13" s="1"/>
      <c r="F13" s="1"/>
      <c r="G13" s="1"/>
      <c r="H13" s="1"/>
    </row>
    <row r="14" spans="1:8">
      <c r="A14" s="1" t="s">
        <v>11</v>
      </c>
      <c r="B14" s="1" t="s">
        <v>12</v>
      </c>
      <c r="C14" s="1"/>
      <c r="D14" s="1"/>
      <c r="E14" s="1"/>
      <c r="F14" s="1"/>
      <c r="G14" s="1"/>
      <c r="H14" s="1"/>
    </row>
    <row r="16" spans="1:8">
      <c r="A16" s="23" t="s">
        <v>181</v>
      </c>
      <c r="B16" s="23" t="s">
        <v>13</v>
      </c>
      <c r="C16" s="23" t="s">
        <v>13</v>
      </c>
      <c r="D16" s="23" t="s">
        <v>13</v>
      </c>
      <c r="E16" s="23" t="s">
        <v>13</v>
      </c>
      <c r="F16" s="23" t="s">
        <v>13</v>
      </c>
      <c r="G16" s="23" t="s">
        <v>13</v>
      </c>
      <c r="H16" s="23" t="s">
        <v>13</v>
      </c>
    </row>
    <row r="17" spans="1:8">
      <c r="A17" s="23" t="s">
        <v>13</v>
      </c>
      <c r="B17" s="23" t="s">
        <v>13</v>
      </c>
      <c r="C17" s="23" t="s">
        <v>13</v>
      </c>
      <c r="D17" s="23" t="s">
        <v>13</v>
      </c>
      <c r="E17" s="23" t="s">
        <v>13</v>
      </c>
      <c r="F17" s="23" t="s">
        <v>13</v>
      </c>
      <c r="G17" s="23" t="s">
        <v>13</v>
      </c>
      <c r="H17" s="23" t="s">
        <v>13</v>
      </c>
    </row>
    <row r="18" spans="1:8">
      <c r="A18" s="23" t="s">
        <v>13</v>
      </c>
      <c r="B18" s="23" t="s">
        <v>13</v>
      </c>
      <c r="C18" s="23" t="s">
        <v>13</v>
      </c>
      <c r="D18" s="23" t="s">
        <v>13</v>
      </c>
      <c r="E18" s="23" t="s">
        <v>13</v>
      </c>
      <c r="F18" s="23" t="s">
        <v>13</v>
      </c>
      <c r="G18" s="23" t="s">
        <v>13</v>
      </c>
      <c r="H18" s="23" t="s">
        <v>13</v>
      </c>
    </row>
  </sheetData>
  <mergeCells count="4">
    <mergeCell ref="A1:H1"/>
    <mergeCell ref="A3:H7"/>
    <mergeCell ref="A9:H9"/>
    <mergeCell ref="A16:H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9105-8ACC-4DD1-B7A1-D3731F2F17FC}">
  <dimension ref="A2:K18"/>
  <sheetViews>
    <sheetView zoomScale="280" zoomScaleNormal="280" workbookViewId="0">
      <selection activeCell="I7" sqref="I7"/>
    </sheetView>
  </sheetViews>
  <sheetFormatPr defaultRowHeight="14.25"/>
  <cols>
    <col min="1" max="1" width="10" bestFit="1" customWidth="1"/>
    <col min="3" max="3" width="17.75" style="44" bestFit="1" customWidth="1"/>
    <col min="4" max="6" width="14.25" style="44" bestFit="1" customWidth="1"/>
    <col min="7" max="7" width="19" bestFit="1" customWidth="1"/>
    <col min="9" max="9" width="10.25" customWidth="1"/>
    <col min="10" max="10" width="11.625" customWidth="1"/>
    <col min="11" max="11" width="9" style="44"/>
  </cols>
  <sheetData>
    <row r="2" spans="1:11" ht="15">
      <c r="H2" s="42" t="s">
        <v>208</v>
      </c>
    </row>
    <row r="3" spans="1:11" s="45" customFormat="1" ht="30">
      <c r="A3" s="45" t="s">
        <v>205</v>
      </c>
      <c r="B3" s="45" t="s">
        <v>204</v>
      </c>
      <c r="C3" s="46" t="s">
        <v>206</v>
      </c>
      <c r="D3" s="46" t="s">
        <v>195</v>
      </c>
      <c r="E3" s="46" t="s">
        <v>207</v>
      </c>
      <c r="F3" s="46" t="s">
        <v>49</v>
      </c>
      <c r="G3" s="45" t="s">
        <v>197</v>
      </c>
      <c r="H3" s="47" t="s">
        <v>64</v>
      </c>
      <c r="I3" s="47" t="s">
        <v>209</v>
      </c>
      <c r="J3" s="47" t="s">
        <v>210</v>
      </c>
      <c r="K3" s="46" t="s">
        <v>212</v>
      </c>
    </row>
    <row r="4" spans="1:11" s="48" customFormat="1">
      <c r="C4" s="49"/>
      <c r="D4" s="49"/>
      <c r="E4" s="49"/>
      <c r="F4" s="49"/>
      <c r="H4" s="50"/>
      <c r="I4" s="44">
        <f>SUM(I5:I10)</f>
        <v>23.024999999999999</v>
      </c>
      <c r="J4" s="44">
        <f t="shared" ref="J4:K4" si="0">SUM(J5:J10)</f>
        <v>23.024999999999999</v>
      </c>
      <c r="K4" s="44">
        <f>K7</f>
        <v>-69.074999999999989</v>
      </c>
    </row>
    <row r="5" spans="1:11">
      <c r="A5" s="41">
        <v>46389</v>
      </c>
      <c r="B5" t="s">
        <v>141</v>
      </c>
      <c r="C5" s="44">
        <v>1000</v>
      </c>
      <c r="D5" s="44">
        <f>C5*0.05%</f>
        <v>0.5</v>
      </c>
      <c r="E5" s="44">
        <f>C5*0.05%</f>
        <v>0.5</v>
      </c>
      <c r="F5" s="44">
        <f>C5*0.0911</f>
        <v>91.1</v>
      </c>
      <c r="G5" s="44">
        <f>C5+D5+E5+F5</f>
        <v>1092.0999999999999</v>
      </c>
      <c r="H5" s="44">
        <f>F5+E5+D5</f>
        <v>92.1</v>
      </c>
    </row>
    <row r="6" spans="1:11">
      <c r="A6" s="41">
        <v>46389</v>
      </c>
      <c r="B6" t="s">
        <v>211</v>
      </c>
      <c r="C6" s="44">
        <v>500</v>
      </c>
      <c r="D6" s="44">
        <f>C6*0.05%</f>
        <v>0.25</v>
      </c>
      <c r="E6" s="44">
        <f>C6*0.05%</f>
        <v>0.25</v>
      </c>
      <c r="F6" s="44">
        <f>C6*0.0911</f>
        <v>45.55</v>
      </c>
      <c r="G6" s="44">
        <f>C6+D6+E6+F6</f>
        <v>546.04999999999995</v>
      </c>
      <c r="I6" s="44">
        <f>D6+E6+F6</f>
        <v>46.05</v>
      </c>
      <c r="K6" s="44">
        <f>H5*-1</f>
        <v>-92.1</v>
      </c>
    </row>
    <row r="7" spans="1:11">
      <c r="A7" s="41">
        <v>46389</v>
      </c>
      <c r="B7" t="s">
        <v>213</v>
      </c>
      <c r="I7" s="44">
        <f>I6*-1/2</f>
        <v>-23.024999999999999</v>
      </c>
      <c r="J7" s="44">
        <f>I6/2</f>
        <v>23.024999999999999</v>
      </c>
      <c r="K7" s="44">
        <f>K6+J7</f>
        <v>-69.074999999999989</v>
      </c>
    </row>
    <row r="8" spans="1:11">
      <c r="B8" t="s">
        <v>214</v>
      </c>
      <c r="I8" s="44"/>
    </row>
    <row r="10" spans="1:11">
      <c r="B10" t="s">
        <v>187</v>
      </c>
      <c r="C10" s="44" t="s">
        <v>188</v>
      </c>
      <c r="D10" s="44">
        <f>G5</f>
        <v>1092.0999999999999</v>
      </c>
      <c r="F10" t="s">
        <v>187</v>
      </c>
      <c r="G10" s="44" t="s">
        <v>219</v>
      </c>
      <c r="H10" s="44">
        <f>H11</f>
        <v>23.024999999999999</v>
      </c>
    </row>
    <row r="11" spans="1:11">
      <c r="B11" t="s">
        <v>51</v>
      </c>
      <c r="C11" s="44" t="s">
        <v>189</v>
      </c>
      <c r="D11" s="44">
        <f>C5</f>
        <v>1000</v>
      </c>
      <c r="F11" t="s">
        <v>51</v>
      </c>
      <c r="G11" s="44" t="s">
        <v>217</v>
      </c>
      <c r="H11" s="44">
        <f>J7</f>
        <v>23.024999999999999</v>
      </c>
    </row>
    <row r="12" spans="1:11">
      <c r="B12" t="s">
        <v>51</v>
      </c>
      <c r="C12" s="44" t="s">
        <v>215</v>
      </c>
      <c r="D12" s="44">
        <f>H5</f>
        <v>92.1</v>
      </c>
    </row>
    <row r="14" spans="1:11">
      <c r="B14" t="s">
        <v>187</v>
      </c>
      <c r="C14" s="44" t="s">
        <v>216</v>
      </c>
      <c r="D14" s="44">
        <f>C6</f>
        <v>500</v>
      </c>
      <c r="F14" t="s">
        <v>187</v>
      </c>
      <c r="G14" s="44" t="s">
        <v>215</v>
      </c>
      <c r="H14" s="44">
        <f>H10</f>
        <v>23.024999999999999</v>
      </c>
    </row>
    <row r="15" spans="1:11">
      <c r="B15" t="s">
        <v>187</v>
      </c>
      <c r="C15" s="44" t="s">
        <v>217</v>
      </c>
      <c r="D15" s="44">
        <f>I6</f>
        <v>46.05</v>
      </c>
      <c r="F15" t="s">
        <v>51</v>
      </c>
      <c r="G15" s="44" t="s">
        <v>219</v>
      </c>
      <c r="H15" s="44">
        <f>H14</f>
        <v>23.024999999999999</v>
      </c>
    </row>
    <row r="16" spans="1:11">
      <c r="B16" t="s">
        <v>51</v>
      </c>
      <c r="C16" s="44" t="s">
        <v>218</v>
      </c>
      <c r="D16" s="44">
        <f>G6</f>
        <v>546.04999999999995</v>
      </c>
    </row>
    <row r="17" spans="6:8">
      <c r="F17" t="s">
        <v>187</v>
      </c>
      <c r="G17" s="44" t="s">
        <v>215</v>
      </c>
      <c r="H17" s="44">
        <f>K7*-1</f>
        <v>69.074999999999989</v>
      </c>
    </row>
    <row r="18" spans="6:8">
      <c r="F18" t="s">
        <v>51</v>
      </c>
      <c r="G18" s="44" t="s">
        <v>220</v>
      </c>
      <c r="H18" s="44">
        <f>H17</f>
        <v>69.074999999999989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FD85-97C1-4840-BDAF-D28D70450E8C}">
  <dimension ref="A2:P27"/>
  <sheetViews>
    <sheetView zoomScale="230" zoomScaleNormal="230" workbookViewId="0">
      <selection activeCell="J10" sqref="J10"/>
    </sheetView>
  </sheetViews>
  <sheetFormatPr defaultRowHeight="14.25"/>
  <cols>
    <col min="1" max="1" width="10.625" bestFit="1" customWidth="1"/>
    <col min="3" max="3" width="9.5" style="44" bestFit="1" customWidth="1"/>
    <col min="4" max="4" width="9.125" style="44" bestFit="1" customWidth="1"/>
    <col min="5" max="8" width="9" style="44"/>
    <col min="10" max="10" width="18.875" bestFit="1" customWidth="1"/>
    <col min="13" max="13" width="10" bestFit="1" customWidth="1"/>
    <col min="14" max="14" width="20" bestFit="1" customWidth="1"/>
    <col min="15" max="15" width="9.5" bestFit="1" customWidth="1"/>
  </cols>
  <sheetData>
    <row r="2" spans="1:15" s="42" customFormat="1" ht="15">
      <c r="C2" s="43"/>
      <c r="D2" s="43" t="s">
        <v>49</v>
      </c>
      <c r="E2" s="43" t="s">
        <v>195</v>
      </c>
      <c r="F2" s="43" t="s">
        <v>207</v>
      </c>
      <c r="G2" s="43" t="s">
        <v>223</v>
      </c>
      <c r="H2" s="43" t="s">
        <v>221</v>
      </c>
      <c r="I2" s="42" t="s">
        <v>213</v>
      </c>
      <c r="J2" s="42" t="s">
        <v>222</v>
      </c>
    </row>
    <row r="3" spans="1:15" s="42" customFormat="1" ht="15">
      <c r="C3" s="43"/>
      <c r="D3" s="43"/>
      <c r="E3" s="43"/>
      <c r="F3" s="43"/>
      <c r="G3" s="51">
        <f>SUM(G4:G15)</f>
        <v>1565.6999999999998</v>
      </c>
      <c r="H3" s="43"/>
    </row>
    <row r="4" spans="1:15" s="53" customFormat="1">
      <c r="A4" s="52">
        <v>46389</v>
      </c>
      <c r="C4" s="54">
        <v>10000</v>
      </c>
      <c r="D4" s="54">
        <f>C4*9.11/100</f>
        <v>911</v>
      </c>
      <c r="E4" s="54">
        <f>C4*0.05/100</f>
        <v>5</v>
      </c>
      <c r="F4" s="54">
        <f>C4*0.05/100</f>
        <v>5</v>
      </c>
      <c r="G4" s="54">
        <f>E4+D4+F4</f>
        <v>921</v>
      </c>
      <c r="H4" s="54"/>
    </row>
    <row r="5" spans="1:15" s="53" customFormat="1">
      <c r="A5" s="52">
        <v>46389</v>
      </c>
      <c r="B5" s="53">
        <v>1</v>
      </c>
      <c r="C5" s="54">
        <f>C4/10</f>
        <v>1000</v>
      </c>
      <c r="D5" s="54">
        <f>C5*9.11/100</f>
        <v>91.1</v>
      </c>
      <c r="E5" s="54">
        <f>C5*0.05/100</f>
        <v>0.5</v>
      </c>
      <c r="F5" s="54">
        <f>C5*0.05/100</f>
        <v>0.5</v>
      </c>
      <c r="G5" s="54">
        <f>(E5+D5+F5)*-1</f>
        <v>-92.1</v>
      </c>
      <c r="H5" s="54">
        <f>C5+D5+E5+F5</f>
        <v>1092.0999999999999</v>
      </c>
      <c r="I5" s="54">
        <f>92.1</f>
        <v>92.1</v>
      </c>
      <c r="J5" s="54">
        <f>H5-I5</f>
        <v>999.99999999999989</v>
      </c>
      <c r="M5" s="52">
        <f>A4</f>
        <v>46389</v>
      </c>
    </row>
    <row r="6" spans="1:15">
      <c r="A6" s="41">
        <v>46420</v>
      </c>
      <c r="B6">
        <f>B5+1</f>
        <v>2</v>
      </c>
      <c r="C6" s="44">
        <f>C5</f>
        <v>1000</v>
      </c>
      <c r="D6" s="44">
        <f>C6*9.11/100</f>
        <v>91.1</v>
      </c>
      <c r="E6" s="44">
        <f>C6*0.05/100</f>
        <v>0.5</v>
      </c>
      <c r="F6" s="44">
        <f>C6*0.05/100</f>
        <v>0.5</v>
      </c>
      <c r="G6" s="44">
        <f>I6*-1</f>
        <v>-92.1</v>
      </c>
      <c r="H6" s="44">
        <f>C6+D6+E6+F6</f>
        <v>1092.0999999999999</v>
      </c>
      <c r="I6" s="44">
        <f>I5</f>
        <v>92.1</v>
      </c>
      <c r="J6" s="44">
        <f>J5</f>
        <v>999.99999999999989</v>
      </c>
      <c r="K6" t="s">
        <v>224</v>
      </c>
      <c r="M6" t="s">
        <v>187</v>
      </c>
      <c r="N6" t="s">
        <v>188</v>
      </c>
      <c r="O6" s="44">
        <f>C4+G4</f>
        <v>10921</v>
      </c>
    </row>
    <row r="7" spans="1:15">
      <c r="A7" s="55">
        <v>46438</v>
      </c>
      <c r="B7" s="56"/>
      <c r="C7" s="57"/>
      <c r="D7" s="57"/>
      <c r="E7" s="57"/>
      <c r="F7" s="57"/>
      <c r="G7" s="57">
        <f>G4+G5</f>
        <v>828.9</v>
      </c>
      <c r="H7" s="57"/>
      <c r="I7" s="57"/>
      <c r="J7" s="57"/>
      <c r="M7" t="s">
        <v>51</v>
      </c>
      <c r="N7" t="s">
        <v>225</v>
      </c>
      <c r="O7" s="44">
        <f>C4</f>
        <v>10000</v>
      </c>
    </row>
    <row r="8" spans="1:15">
      <c r="A8" s="41">
        <v>46448</v>
      </c>
      <c r="B8">
        <f>B6+1</f>
        <v>3</v>
      </c>
      <c r="C8" s="44">
        <f>C6</f>
        <v>1000</v>
      </c>
      <c r="H8" s="44">
        <f>C8</f>
        <v>1000</v>
      </c>
      <c r="M8" t="s">
        <v>51</v>
      </c>
      <c r="N8" t="s">
        <v>215</v>
      </c>
      <c r="O8" s="44">
        <f>G4</f>
        <v>921</v>
      </c>
    </row>
    <row r="9" spans="1:15">
      <c r="A9" s="41">
        <v>46479</v>
      </c>
      <c r="B9">
        <f t="shared" ref="B9:B15" si="0">B8+1</f>
        <v>4</v>
      </c>
      <c r="C9" s="44">
        <f t="shared" ref="C9:C15" si="1">C8</f>
        <v>1000</v>
      </c>
      <c r="H9" s="44">
        <f t="shared" ref="H9:H15" si="2">C9</f>
        <v>1000</v>
      </c>
    </row>
    <row r="10" spans="1:15">
      <c r="A10" s="41">
        <v>46509</v>
      </c>
      <c r="B10">
        <f t="shared" si="0"/>
        <v>5</v>
      </c>
      <c r="C10" s="44">
        <f t="shared" si="1"/>
        <v>1000</v>
      </c>
      <c r="H10" s="44">
        <f t="shared" si="2"/>
        <v>1000</v>
      </c>
      <c r="M10" s="41">
        <f>A5</f>
        <v>46389</v>
      </c>
    </row>
    <row r="11" spans="1:15">
      <c r="A11" s="41">
        <v>46540</v>
      </c>
      <c r="B11">
        <f t="shared" si="0"/>
        <v>6</v>
      </c>
      <c r="C11" s="44">
        <f t="shared" si="1"/>
        <v>1000</v>
      </c>
      <c r="H11" s="44">
        <f t="shared" si="2"/>
        <v>1000</v>
      </c>
      <c r="M11" t="s">
        <v>187</v>
      </c>
      <c r="N11" t="s">
        <v>215</v>
      </c>
      <c r="O11" s="44">
        <f>I6</f>
        <v>92.1</v>
      </c>
    </row>
    <row r="12" spans="1:15">
      <c r="A12" s="41">
        <v>46570</v>
      </c>
      <c r="B12">
        <f t="shared" si="0"/>
        <v>7</v>
      </c>
      <c r="C12" s="44">
        <f t="shared" si="1"/>
        <v>1000</v>
      </c>
      <c r="H12" s="44">
        <f t="shared" si="2"/>
        <v>1000</v>
      </c>
      <c r="M12" t="s">
        <v>187</v>
      </c>
      <c r="N12" t="s">
        <v>227</v>
      </c>
      <c r="O12" s="44">
        <f>J6</f>
        <v>999.99999999999989</v>
      </c>
    </row>
    <row r="13" spans="1:15">
      <c r="A13" s="41">
        <v>46601</v>
      </c>
      <c r="B13">
        <f t="shared" si="0"/>
        <v>8</v>
      </c>
      <c r="C13" s="44">
        <f t="shared" si="1"/>
        <v>1000</v>
      </c>
      <c r="H13" s="44">
        <f t="shared" si="2"/>
        <v>1000</v>
      </c>
      <c r="M13" t="s">
        <v>51</v>
      </c>
      <c r="N13" t="s">
        <v>226</v>
      </c>
      <c r="O13" s="44">
        <f>H6</f>
        <v>1092.0999999999999</v>
      </c>
    </row>
    <row r="14" spans="1:15">
      <c r="A14" s="41">
        <v>46632</v>
      </c>
      <c r="B14">
        <f t="shared" si="0"/>
        <v>9</v>
      </c>
      <c r="C14" s="44">
        <f t="shared" si="1"/>
        <v>1000</v>
      </c>
      <c r="H14" s="44">
        <f t="shared" si="2"/>
        <v>1000</v>
      </c>
    </row>
    <row r="15" spans="1:15">
      <c r="A15" s="41">
        <v>46662</v>
      </c>
      <c r="B15">
        <f t="shared" si="0"/>
        <v>10</v>
      </c>
      <c r="C15" s="44">
        <f t="shared" si="1"/>
        <v>1000</v>
      </c>
      <c r="H15" s="44">
        <f t="shared" si="2"/>
        <v>1000</v>
      </c>
      <c r="M15" s="41">
        <f>A6</f>
        <v>46420</v>
      </c>
    </row>
    <row r="16" spans="1:15">
      <c r="M16" t="s">
        <v>187</v>
      </c>
      <c r="N16" t="s">
        <v>215</v>
      </c>
      <c r="O16" s="44">
        <f>I6</f>
        <v>92.1</v>
      </c>
    </row>
    <row r="17" spans="13:16">
      <c r="M17" t="s">
        <v>187</v>
      </c>
      <c r="N17" t="s">
        <v>227</v>
      </c>
      <c r="O17" s="44">
        <f>C6</f>
        <v>1000</v>
      </c>
    </row>
    <row r="18" spans="13:16">
      <c r="M18" t="s">
        <v>51</v>
      </c>
      <c r="N18" t="s">
        <v>226</v>
      </c>
      <c r="O18" s="44">
        <f>H6</f>
        <v>1092.0999999999999</v>
      </c>
      <c r="P18" s="58">
        <f>O8-O11-O16</f>
        <v>736.8</v>
      </c>
    </row>
    <row r="20" spans="13:16">
      <c r="M20" s="59">
        <f>A7</f>
        <v>46438</v>
      </c>
    </row>
    <row r="21" spans="13:16">
      <c r="M21" t="s">
        <v>187</v>
      </c>
      <c r="N21" t="s">
        <v>215</v>
      </c>
      <c r="O21">
        <v>736.8</v>
      </c>
    </row>
    <row r="22" spans="13:16">
      <c r="M22" t="s">
        <v>187</v>
      </c>
      <c r="N22" t="s">
        <v>228</v>
      </c>
      <c r="O22" s="44">
        <f>I6</f>
        <v>92.1</v>
      </c>
    </row>
    <row r="23" spans="13:16">
      <c r="M23" t="s">
        <v>51</v>
      </c>
      <c r="N23" t="s">
        <v>227</v>
      </c>
      <c r="O23">
        <v>828.9</v>
      </c>
    </row>
    <row r="25" spans="13:16">
      <c r="M25" s="41">
        <v>46441</v>
      </c>
    </row>
    <row r="26" spans="13:16">
      <c r="M26" t="s">
        <v>187</v>
      </c>
      <c r="N26" t="s">
        <v>227</v>
      </c>
      <c r="O26" s="44">
        <f>O27</f>
        <v>92.1</v>
      </c>
    </row>
    <row r="27" spans="13:16">
      <c r="M27" t="s">
        <v>51</v>
      </c>
      <c r="N27" t="s">
        <v>228</v>
      </c>
      <c r="O27" s="44">
        <f>O22</f>
        <v>92.1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4E57-34FF-4B14-AEC7-1C97C627B0A8}">
  <dimension ref="A1:K14"/>
  <sheetViews>
    <sheetView zoomScale="280" zoomScaleNormal="280" workbookViewId="0">
      <selection sqref="A1:XFD1048576"/>
    </sheetView>
  </sheetViews>
  <sheetFormatPr defaultRowHeight="14.25"/>
  <cols>
    <col min="1" max="1" width="10" bestFit="1" customWidth="1"/>
    <col min="3" max="3" width="17.75" style="44" bestFit="1" customWidth="1"/>
    <col min="4" max="6" width="14.25" style="44" bestFit="1" customWidth="1"/>
    <col min="7" max="7" width="19" bestFit="1" customWidth="1"/>
    <col min="9" max="9" width="10.25" customWidth="1"/>
    <col min="10" max="10" width="11.625" customWidth="1"/>
    <col min="11" max="11" width="9" style="44"/>
  </cols>
  <sheetData>
    <row r="1" spans="1:11" ht="15">
      <c r="H1" s="42" t="s">
        <v>208</v>
      </c>
    </row>
    <row r="2" spans="1:11" s="45" customFormat="1" ht="30">
      <c r="A2" s="45" t="s">
        <v>205</v>
      </c>
      <c r="B2" s="45" t="s">
        <v>204</v>
      </c>
      <c r="C2" s="46" t="s">
        <v>206</v>
      </c>
      <c r="D2" s="46" t="s">
        <v>195</v>
      </c>
      <c r="E2" s="46" t="s">
        <v>207</v>
      </c>
      <c r="F2" s="46" t="s">
        <v>49</v>
      </c>
      <c r="G2" s="45" t="s">
        <v>197</v>
      </c>
      <c r="H2" s="47" t="s">
        <v>64</v>
      </c>
      <c r="I2" s="47" t="s">
        <v>209</v>
      </c>
      <c r="J2" s="47" t="s">
        <v>210</v>
      </c>
      <c r="K2" s="46" t="s">
        <v>212</v>
      </c>
    </row>
    <row r="3" spans="1:11" s="48" customFormat="1">
      <c r="C3" s="49"/>
      <c r="D3" s="49"/>
      <c r="E3" s="49"/>
      <c r="F3" s="49"/>
      <c r="H3" s="50"/>
      <c r="I3" s="44">
        <f>SUM(I4:I8)</f>
        <v>46.05</v>
      </c>
      <c r="J3" s="44">
        <f t="shared" ref="J3" si="0">SUM(J4:J8)</f>
        <v>0</v>
      </c>
      <c r="K3" s="44">
        <f>K5</f>
        <v>-92.1</v>
      </c>
    </row>
    <row r="4" spans="1:11">
      <c r="A4" s="41">
        <v>46389</v>
      </c>
      <c r="B4" t="s">
        <v>141</v>
      </c>
      <c r="C4" s="44">
        <v>1000</v>
      </c>
      <c r="D4" s="44">
        <f>C4*0.05%</f>
        <v>0.5</v>
      </c>
      <c r="E4" s="44">
        <f>C4*0.05%</f>
        <v>0.5</v>
      </c>
      <c r="F4" s="44">
        <f>C4*0.0911</f>
        <v>91.1</v>
      </c>
      <c r="G4" s="44">
        <f>C4+D4+E4+F4</f>
        <v>1092.0999999999999</v>
      </c>
      <c r="H4" s="44">
        <f>F4+E4+D4</f>
        <v>92.1</v>
      </c>
    </row>
    <row r="5" spans="1:11">
      <c r="A5" s="41">
        <v>46389</v>
      </c>
      <c r="B5" t="s">
        <v>211</v>
      </c>
      <c r="C5" s="44">
        <v>500</v>
      </c>
      <c r="D5" s="44">
        <f>C5*0.05%</f>
        <v>0.25</v>
      </c>
      <c r="E5" s="44">
        <f>C5*0.05%</f>
        <v>0.25</v>
      </c>
      <c r="F5" s="44">
        <f>C5*0.0911</f>
        <v>45.55</v>
      </c>
      <c r="G5" s="44">
        <f>C5+D5+E5+F5</f>
        <v>546.04999999999995</v>
      </c>
      <c r="I5" s="44">
        <f>D5+E5+F5</f>
        <v>46.05</v>
      </c>
      <c r="K5" s="44">
        <f>H4*-1</f>
        <v>-92.1</v>
      </c>
    </row>
    <row r="6" spans="1:11">
      <c r="B6" t="s">
        <v>214</v>
      </c>
      <c r="I6" s="44"/>
    </row>
    <row r="8" spans="1:11">
      <c r="B8" t="s">
        <v>187</v>
      </c>
      <c r="C8" s="44" t="s">
        <v>188</v>
      </c>
      <c r="D8" s="44">
        <f>G4</f>
        <v>1092.0999999999999</v>
      </c>
      <c r="F8" t="s">
        <v>187</v>
      </c>
      <c r="G8" s="44" t="s">
        <v>215</v>
      </c>
      <c r="H8" s="44">
        <f>K3*-1</f>
        <v>92.1</v>
      </c>
    </row>
    <row r="9" spans="1:11">
      <c r="B9" t="s">
        <v>51</v>
      </c>
      <c r="C9" s="44" t="s">
        <v>189</v>
      </c>
      <c r="D9" s="44">
        <f>C4</f>
        <v>1000</v>
      </c>
      <c r="F9" t="s">
        <v>51</v>
      </c>
      <c r="G9" s="44" t="s">
        <v>220</v>
      </c>
      <c r="H9" s="44">
        <f>H8</f>
        <v>92.1</v>
      </c>
    </row>
    <row r="10" spans="1:11">
      <c r="B10" t="s">
        <v>51</v>
      </c>
      <c r="C10" s="44" t="s">
        <v>215</v>
      </c>
      <c r="D10" s="44">
        <f>H4</f>
        <v>92.1</v>
      </c>
    </row>
    <row r="12" spans="1:11">
      <c r="B12" t="s">
        <v>187</v>
      </c>
      <c r="C12" s="44" t="s">
        <v>216</v>
      </c>
      <c r="D12" s="44">
        <f>C5</f>
        <v>500</v>
      </c>
    </row>
    <row r="13" spans="1:11">
      <c r="B13" t="s">
        <v>187</v>
      </c>
      <c r="C13" s="44" t="s">
        <v>217</v>
      </c>
      <c r="D13" s="44">
        <f>I5</f>
        <v>46.05</v>
      </c>
    </row>
    <row r="14" spans="1:11">
      <c r="B14" t="s">
        <v>51</v>
      </c>
      <c r="C14" s="44" t="s">
        <v>218</v>
      </c>
      <c r="D14" s="44">
        <f>G5</f>
        <v>546.04999999999995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B984-49EF-4966-AADE-C2B5A495EC78}">
  <dimension ref="A1:J13"/>
  <sheetViews>
    <sheetView zoomScale="280" zoomScaleNormal="280" workbookViewId="0">
      <selection activeCell="F9" sqref="F9"/>
    </sheetView>
  </sheetViews>
  <sheetFormatPr defaultRowHeight="14.25"/>
  <cols>
    <col min="1" max="1" width="10" bestFit="1" customWidth="1"/>
    <col min="3" max="3" width="17.75" style="44" bestFit="1" customWidth="1"/>
    <col min="4" max="6" width="14.25" style="44" bestFit="1" customWidth="1"/>
    <col min="7" max="7" width="19" bestFit="1" customWidth="1"/>
    <col min="9" max="9" width="11.625" customWidth="1"/>
    <col min="10" max="10" width="9" style="44"/>
  </cols>
  <sheetData>
    <row r="1" spans="1:10" ht="15">
      <c r="H1" s="42" t="s">
        <v>208</v>
      </c>
    </row>
    <row r="2" spans="1:10" s="45" customFormat="1" ht="30">
      <c r="A2" s="45" t="s">
        <v>205</v>
      </c>
      <c r="B2" s="45" t="s">
        <v>204</v>
      </c>
      <c r="C2" s="46" t="s">
        <v>206</v>
      </c>
      <c r="D2" s="46" t="s">
        <v>195</v>
      </c>
      <c r="E2" s="46" t="s">
        <v>207</v>
      </c>
      <c r="F2" s="46" t="s">
        <v>49</v>
      </c>
      <c r="G2" s="45" t="s">
        <v>197</v>
      </c>
      <c r="H2" s="47" t="s">
        <v>229</v>
      </c>
      <c r="I2" s="47" t="s">
        <v>230</v>
      </c>
      <c r="J2" s="46"/>
    </row>
    <row r="3" spans="1:10" s="48" customFormat="1">
      <c r="C3" s="49"/>
      <c r="D3" s="49"/>
      <c r="E3" s="49"/>
      <c r="F3" s="49"/>
      <c r="H3" s="50"/>
      <c r="I3" s="44">
        <f t="shared" ref="I3" si="0">SUM(I4:I7)</f>
        <v>-92.1</v>
      </c>
      <c r="J3" s="44"/>
    </row>
    <row r="4" spans="1:10">
      <c r="A4" s="41">
        <v>46389</v>
      </c>
      <c r="B4" t="s">
        <v>141</v>
      </c>
      <c r="C4" s="44">
        <v>1000</v>
      </c>
      <c r="D4" s="44">
        <f>C4*0.05%</f>
        <v>0.5</v>
      </c>
      <c r="E4" s="44">
        <f>C4*0.05%</f>
        <v>0.5</v>
      </c>
      <c r="F4" s="44">
        <f>C4*0.0911</f>
        <v>91.1</v>
      </c>
      <c r="G4" s="44">
        <f>C4+D4+E4+F4</f>
        <v>1092.0999999999999</v>
      </c>
      <c r="H4" s="44">
        <f>F4+E4+D4</f>
        <v>92.1</v>
      </c>
      <c r="I4" s="44">
        <f>H4*-1</f>
        <v>-92.1</v>
      </c>
      <c r="J4" s="44">
        <f>H4+I4</f>
        <v>0</v>
      </c>
    </row>
    <row r="5" spans="1:10">
      <c r="A5" s="41">
        <v>46389</v>
      </c>
      <c r="B5" t="s">
        <v>214</v>
      </c>
    </row>
    <row r="7" spans="1:10">
      <c r="B7" t="s">
        <v>187</v>
      </c>
      <c r="C7" s="44" t="s">
        <v>188</v>
      </c>
      <c r="D7" s="44">
        <f>G4</f>
        <v>1092.0999999999999</v>
      </c>
      <c r="F7"/>
      <c r="G7" s="44"/>
      <c r="H7" s="44"/>
    </row>
    <row r="8" spans="1:10">
      <c r="B8" t="s">
        <v>51</v>
      </c>
      <c r="C8" s="44" t="s">
        <v>189</v>
      </c>
      <c r="D8" s="44">
        <f>C4</f>
        <v>1000</v>
      </c>
      <c r="F8"/>
      <c r="G8" s="44"/>
      <c r="H8" s="44"/>
    </row>
    <row r="9" spans="1:10">
      <c r="B9" t="s">
        <v>51</v>
      </c>
      <c r="C9" s="44" t="s">
        <v>215</v>
      </c>
      <c r="D9" s="44">
        <f>H4</f>
        <v>92.1</v>
      </c>
    </row>
    <row r="12" spans="1:10">
      <c r="B12" t="s">
        <v>187</v>
      </c>
      <c r="C12" s="44" t="s">
        <v>215</v>
      </c>
      <c r="D12" s="44">
        <f>H4</f>
        <v>92.1</v>
      </c>
    </row>
    <row r="13" spans="1:10">
      <c r="B13" t="s">
        <v>51</v>
      </c>
      <c r="C13" s="44" t="s">
        <v>188</v>
      </c>
      <c r="D13" s="44">
        <f>D12</f>
        <v>92.1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9621-908B-4FCD-B042-8FB1E5495D25}">
  <dimension ref="B1:E13"/>
  <sheetViews>
    <sheetView zoomScale="388" zoomScaleNormal="388" workbookViewId="0">
      <selection sqref="A1:XFD1048576"/>
    </sheetView>
  </sheetViews>
  <sheetFormatPr defaultRowHeight="14.25"/>
  <cols>
    <col min="2" max="2" width="17.75" bestFit="1" customWidth="1"/>
    <col min="3" max="3" width="23.75" style="44" bestFit="1" customWidth="1"/>
    <col min="4" max="5" width="9" style="44"/>
  </cols>
  <sheetData>
    <row r="1" spans="2:5">
      <c r="C1" s="44" t="s">
        <v>233</v>
      </c>
      <c r="D1" s="44" t="s">
        <v>203</v>
      </c>
    </row>
    <row r="2" spans="2:5">
      <c r="B2" t="s">
        <v>232</v>
      </c>
      <c r="C2" s="44">
        <v>15000</v>
      </c>
    </row>
    <row r="3" spans="2:5">
      <c r="B3" t="s">
        <v>231</v>
      </c>
      <c r="C3" s="44">
        <f>C2/2</f>
        <v>7500</v>
      </c>
      <c r="D3" s="44">
        <f>C3*9.21%</f>
        <v>690.75000000000011</v>
      </c>
      <c r="E3" s="44">
        <f>C3+D3</f>
        <v>8190.75</v>
      </c>
    </row>
    <row r="5" spans="2:5">
      <c r="B5" t="s">
        <v>235</v>
      </c>
    </row>
    <row r="6" spans="2:5">
      <c r="B6" t="s">
        <v>187</v>
      </c>
      <c r="C6" s="44" t="s">
        <v>227</v>
      </c>
      <c r="D6" s="44">
        <f>E3</f>
        <v>8190.75</v>
      </c>
    </row>
    <row r="7" spans="2:5">
      <c r="B7" t="s">
        <v>51</v>
      </c>
      <c r="C7" s="44" t="s">
        <v>215</v>
      </c>
      <c r="D7" s="44">
        <f>D3</f>
        <v>690.75000000000011</v>
      </c>
    </row>
    <row r="8" spans="2:5">
      <c r="B8" t="s">
        <v>51</v>
      </c>
      <c r="C8" s="44" t="s">
        <v>234</v>
      </c>
      <c r="D8" s="44">
        <f>C3</f>
        <v>7500</v>
      </c>
    </row>
    <row r="10" spans="2:5">
      <c r="B10" t="s">
        <v>236</v>
      </c>
    </row>
    <row r="11" spans="2:5">
      <c r="B11" t="s">
        <v>187</v>
      </c>
      <c r="C11" s="44" t="s">
        <v>237</v>
      </c>
      <c r="D11" s="44">
        <f>D8</f>
        <v>7500</v>
      </c>
    </row>
    <row r="12" spans="2:5">
      <c r="B12" t="s">
        <v>51</v>
      </c>
      <c r="C12" s="44" t="s">
        <v>238</v>
      </c>
      <c r="D12" s="44">
        <f>D7</f>
        <v>690.75000000000011</v>
      </c>
    </row>
    <row r="13" spans="2:5">
      <c r="B13" t="s">
        <v>51</v>
      </c>
      <c r="C13" s="44" t="s">
        <v>227</v>
      </c>
      <c r="D13" s="44">
        <f>D6</f>
        <v>8190.75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1F9D-A118-4EB3-9E1B-4B16FA0CEAFC}">
  <dimension ref="C2:I15"/>
  <sheetViews>
    <sheetView zoomScale="210" zoomScaleNormal="210" workbookViewId="0">
      <selection activeCell="C2" sqref="C2:E9"/>
    </sheetView>
  </sheetViews>
  <sheetFormatPr defaultRowHeight="14.25"/>
  <cols>
    <col min="3" max="3" width="13.75" bestFit="1" customWidth="1"/>
    <col min="4" max="4" width="11" bestFit="1" customWidth="1"/>
    <col min="5" max="5" width="11.5" style="24" customWidth="1"/>
    <col min="8" max="8" width="30.375" bestFit="1" customWidth="1"/>
  </cols>
  <sheetData>
    <row r="2" spans="3:9" ht="15">
      <c r="D2" s="27">
        <v>2026</v>
      </c>
      <c r="E2" s="28" t="s">
        <v>186</v>
      </c>
      <c r="G2" t="s">
        <v>187</v>
      </c>
      <c r="H2" t="s">
        <v>188</v>
      </c>
      <c r="I2" s="24">
        <f>E3</f>
        <v>10000</v>
      </c>
    </row>
    <row r="3" spans="3:9" ht="15">
      <c r="C3" s="27" t="s">
        <v>182</v>
      </c>
      <c r="E3" s="28">
        <v>10000</v>
      </c>
      <c r="G3" t="s">
        <v>51</v>
      </c>
      <c r="H3" t="s">
        <v>189</v>
      </c>
      <c r="I3" s="24">
        <v>10000</v>
      </c>
    </row>
    <row r="4" spans="3:9">
      <c r="C4" t="s">
        <v>183</v>
      </c>
      <c r="D4" s="25">
        <v>1.6500000000000001E-2</v>
      </c>
      <c r="E4" s="24">
        <f>E3*1.65%</f>
        <v>165</v>
      </c>
    </row>
    <row r="5" spans="3:9">
      <c r="C5" t="s">
        <v>184</v>
      </c>
      <c r="D5" s="25">
        <v>7.5999999999999998E-2</v>
      </c>
      <c r="E5" s="24">
        <f>E3*7.6/100</f>
        <v>760</v>
      </c>
      <c r="G5" t="s">
        <v>187</v>
      </c>
      <c r="H5" t="s">
        <v>185</v>
      </c>
      <c r="I5" s="24">
        <f>E6</f>
        <v>1700.0000000000002</v>
      </c>
    </row>
    <row r="6" spans="3:9">
      <c r="C6" t="s">
        <v>185</v>
      </c>
      <c r="D6" s="26">
        <v>0.17</v>
      </c>
      <c r="E6" s="24">
        <f>E3*0.17</f>
        <v>1700.0000000000002</v>
      </c>
      <c r="G6" t="s">
        <v>187</v>
      </c>
      <c r="H6" t="s">
        <v>183</v>
      </c>
      <c r="I6" s="24">
        <f>E4</f>
        <v>165</v>
      </c>
    </row>
    <row r="7" spans="3:9">
      <c r="C7" t="s">
        <v>195</v>
      </c>
      <c r="D7" s="25">
        <v>1E-3</v>
      </c>
      <c r="E7" s="24">
        <f>(E3-E4-E5-E6)*D7</f>
        <v>7.375</v>
      </c>
      <c r="G7" t="s">
        <v>187</v>
      </c>
      <c r="H7" t="s">
        <v>184</v>
      </c>
      <c r="I7" s="24">
        <f>E5-E7-E8</f>
        <v>686.25</v>
      </c>
    </row>
    <row r="8" spans="3:9">
      <c r="C8" t="s">
        <v>49</v>
      </c>
      <c r="D8" s="25">
        <v>8.9999999999999993E-3</v>
      </c>
      <c r="E8" s="24">
        <f>(E3-E4-E5-E6)*D8</f>
        <v>66.375</v>
      </c>
      <c r="G8" t="s">
        <v>187</v>
      </c>
      <c r="H8" t="s">
        <v>239</v>
      </c>
      <c r="I8" s="24">
        <f>E7</f>
        <v>7.375</v>
      </c>
    </row>
    <row r="9" spans="3:9">
      <c r="C9" s="32" t="s">
        <v>197</v>
      </c>
      <c r="D9" s="32"/>
      <c r="E9" s="33">
        <f>E3</f>
        <v>10000</v>
      </c>
      <c r="G9" t="s">
        <v>187</v>
      </c>
      <c r="H9" t="s">
        <v>240</v>
      </c>
      <c r="I9" s="24">
        <f>E8</f>
        <v>66.375</v>
      </c>
    </row>
    <row r="11" spans="3:9">
      <c r="G11" t="s">
        <v>51</v>
      </c>
      <c r="H11" t="s">
        <v>190</v>
      </c>
      <c r="I11" s="24">
        <f>E6</f>
        <v>1700.0000000000002</v>
      </c>
    </row>
    <row r="12" spans="3:9">
      <c r="G12" t="s">
        <v>51</v>
      </c>
      <c r="H12" t="s">
        <v>191</v>
      </c>
      <c r="I12" s="24">
        <f>E4</f>
        <v>165</v>
      </c>
    </row>
    <row r="13" spans="3:9">
      <c r="G13" t="s">
        <v>51</v>
      </c>
      <c r="H13" t="s">
        <v>192</v>
      </c>
      <c r="I13" s="24">
        <f>E5</f>
        <v>760</v>
      </c>
    </row>
    <row r="14" spans="3:9">
      <c r="G14" t="s">
        <v>51</v>
      </c>
      <c r="H14" t="s">
        <v>198</v>
      </c>
      <c r="I14" s="24">
        <f>I8</f>
        <v>7.375</v>
      </c>
    </row>
    <row r="15" spans="3:9">
      <c r="G15" t="s">
        <v>51</v>
      </c>
      <c r="H15" t="s">
        <v>50</v>
      </c>
      <c r="I15" s="24">
        <f>I9</f>
        <v>66.375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EC4F-294B-4266-A695-D8CF8881A421}">
  <dimension ref="C3:I11"/>
  <sheetViews>
    <sheetView zoomScale="240" zoomScaleNormal="240" workbookViewId="0">
      <selection activeCell="I7" sqref="I7"/>
    </sheetView>
  </sheetViews>
  <sheetFormatPr defaultRowHeight="14.25"/>
  <cols>
    <col min="3" max="3" width="15" bestFit="1" customWidth="1"/>
    <col min="5" max="5" width="9.375" bestFit="1" customWidth="1"/>
    <col min="8" max="8" width="11.875" bestFit="1" customWidth="1"/>
  </cols>
  <sheetData>
    <row r="3" spans="3:9" ht="15">
      <c r="D3" s="27">
        <v>2027</v>
      </c>
      <c r="E3" s="28" t="s">
        <v>186</v>
      </c>
    </row>
    <row r="4" spans="3:9" ht="15">
      <c r="C4" s="27" t="s">
        <v>182</v>
      </c>
      <c r="E4" s="28">
        <v>10000</v>
      </c>
      <c r="G4" t="s">
        <v>187</v>
      </c>
      <c r="H4" t="s">
        <v>243</v>
      </c>
      <c r="I4" s="24">
        <f>E10</f>
        <v>100</v>
      </c>
    </row>
    <row r="5" spans="3:9">
      <c r="C5" t="s">
        <v>183</v>
      </c>
      <c r="D5" s="25">
        <v>0</v>
      </c>
      <c r="E5" s="24">
        <f>E4*1.65%</f>
        <v>165</v>
      </c>
      <c r="G5" t="s">
        <v>51</v>
      </c>
      <c r="H5" t="s">
        <v>244</v>
      </c>
      <c r="I5" s="24">
        <f>E10</f>
        <v>100</v>
      </c>
    </row>
    <row r="6" spans="3:9">
      <c r="C6" t="s">
        <v>184</v>
      </c>
      <c r="D6" s="25">
        <v>0</v>
      </c>
      <c r="E6" s="24">
        <f>E4*7.6/100</f>
        <v>760</v>
      </c>
    </row>
    <row r="7" spans="3:9">
      <c r="C7" t="s">
        <v>185</v>
      </c>
      <c r="D7" s="26">
        <v>0.17</v>
      </c>
      <c r="E7" s="24">
        <f>E4*0.17</f>
        <v>1700.0000000000002</v>
      </c>
    </row>
    <row r="8" spans="3:9">
      <c r="C8" t="s">
        <v>241</v>
      </c>
      <c r="D8" s="25">
        <v>1E-3</v>
      </c>
      <c r="E8" s="24">
        <f>(E4-E5-E6-E7-E10)*D8</f>
        <v>7.2750000000000004</v>
      </c>
    </row>
    <row r="9" spans="3:9">
      <c r="C9" t="s">
        <v>49</v>
      </c>
      <c r="D9" s="25">
        <v>9.11E-2</v>
      </c>
      <c r="E9" s="24">
        <f>(E4-E5-E6-E7-E10)*D9</f>
        <v>662.75250000000005</v>
      </c>
    </row>
    <row r="10" spans="3:9">
      <c r="C10" t="s">
        <v>242</v>
      </c>
      <c r="D10" s="25">
        <v>0.01</v>
      </c>
      <c r="E10" s="24">
        <f>E4*D10</f>
        <v>100</v>
      </c>
    </row>
    <row r="11" spans="3:9">
      <c r="C11" s="32" t="s">
        <v>197</v>
      </c>
      <c r="D11" s="32"/>
      <c r="E11" s="33">
        <f>E4+E8+E9</f>
        <v>10670.0275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showGridLines="0" zoomScale="220" zoomScaleNormal="220" workbookViewId="0">
      <selection activeCell="C14" sqref="C14"/>
    </sheetView>
  </sheetViews>
  <sheetFormatPr defaultRowHeight="14.25"/>
  <cols>
    <col min="1" max="1" width="35" customWidth="1"/>
    <col min="2" max="2" width="20" customWidth="1"/>
    <col min="3" max="3" width="58" customWidth="1"/>
    <col min="4" max="6" width="2" customWidth="1"/>
  </cols>
  <sheetData>
    <row r="1" spans="1:6" ht="27.95" customHeight="1">
      <c r="A1" s="19" t="s">
        <v>14</v>
      </c>
      <c r="B1" s="19" t="s">
        <v>14</v>
      </c>
      <c r="C1" s="19" t="s">
        <v>14</v>
      </c>
      <c r="D1" s="19" t="s">
        <v>14</v>
      </c>
      <c r="E1" s="19" t="s">
        <v>14</v>
      </c>
      <c r="F1" s="19" t="s">
        <v>14</v>
      </c>
    </row>
    <row r="3" spans="1:6" ht="15">
      <c r="A3" s="2" t="s">
        <v>15</v>
      </c>
      <c r="B3" s="2" t="s">
        <v>16</v>
      </c>
      <c r="C3" s="2" t="s">
        <v>17</v>
      </c>
    </row>
    <row r="4" spans="1:6">
      <c r="A4" s="3" t="s">
        <v>18</v>
      </c>
      <c r="B4" s="5">
        <v>10000</v>
      </c>
      <c r="C4" s="3" t="s">
        <v>19</v>
      </c>
    </row>
    <row r="5" spans="1:6">
      <c r="A5" s="3" t="s">
        <v>20</v>
      </c>
      <c r="B5" s="6">
        <v>9.11E-2</v>
      </c>
      <c r="C5" s="3" t="s">
        <v>21</v>
      </c>
    </row>
    <row r="6" spans="1:6">
      <c r="A6" s="3" t="s">
        <v>22</v>
      </c>
      <c r="B6" s="6">
        <v>5.0000000000000001E-4</v>
      </c>
      <c r="C6" s="3" t="s">
        <v>21</v>
      </c>
    </row>
    <row r="7" spans="1:6">
      <c r="A7" s="3" t="s">
        <v>23</v>
      </c>
      <c r="B7" s="6">
        <v>5.0000000000000001E-4</v>
      </c>
      <c r="C7" s="3" t="s">
        <v>21</v>
      </c>
    </row>
    <row r="8" spans="1:6">
      <c r="A8" s="3" t="s">
        <v>24</v>
      </c>
      <c r="B8" s="5">
        <v>3000</v>
      </c>
      <c r="C8" s="3" t="s">
        <v>25</v>
      </c>
    </row>
    <row r="9" spans="1:6">
      <c r="A9" s="3" t="s">
        <v>26</v>
      </c>
      <c r="B9" s="7">
        <v>1</v>
      </c>
      <c r="C9" s="3" t="s">
        <v>27</v>
      </c>
    </row>
    <row r="10" spans="1:6">
      <c r="A10" s="3" t="s">
        <v>28</v>
      </c>
      <c r="B10" s="5">
        <v>745.71</v>
      </c>
      <c r="C10" s="3" t="s">
        <v>29</v>
      </c>
    </row>
    <row r="11" spans="1:6">
      <c r="A11" s="3" t="s">
        <v>30</v>
      </c>
      <c r="B11" s="4" t="s">
        <v>31</v>
      </c>
      <c r="C11" s="3" t="s">
        <v>32</v>
      </c>
    </row>
    <row r="13" spans="1:6" ht="21.95" customHeight="1">
      <c r="A13" s="22" t="s">
        <v>33</v>
      </c>
      <c r="B13" s="22" t="s">
        <v>33</v>
      </c>
      <c r="C13" s="22" t="s">
        <v>33</v>
      </c>
    </row>
    <row r="14" spans="1:6">
      <c r="A14" s="3" t="s">
        <v>34</v>
      </c>
      <c r="B14" s="8">
        <f>B5+B6+B7</f>
        <v>9.2100000000000001E-2</v>
      </c>
    </row>
    <row r="15" spans="1:6">
      <c r="A15" s="3" t="s">
        <v>35</v>
      </c>
      <c r="B15" s="9">
        <f>B4/(1+B14)</f>
        <v>9156.6706345572748</v>
      </c>
    </row>
    <row r="16" spans="1:6">
      <c r="A16" s="3" t="s">
        <v>36</v>
      </c>
      <c r="B16" s="9">
        <f>B15*B5</f>
        <v>834.17269480816776</v>
      </c>
    </row>
    <row r="17" spans="1:3">
      <c r="A17" s="3" t="s">
        <v>37</v>
      </c>
      <c r="B17" s="9">
        <f>B15*B6</f>
        <v>4.5783353172786372</v>
      </c>
    </row>
    <row r="18" spans="1:3">
      <c r="A18" s="3" t="s">
        <v>38</v>
      </c>
      <c r="B18" s="9">
        <f>B15*B7</f>
        <v>4.5783353172786372</v>
      </c>
    </row>
    <row r="20" spans="1:3">
      <c r="A20" s="23" t="s">
        <v>39</v>
      </c>
      <c r="B20" s="23" t="s">
        <v>39</v>
      </c>
      <c r="C20" s="23" t="s">
        <v>39</v>
      </c>
    </row>
    <row r="21" spans="1:3">
      <c r="A21" s="23" t="s">
        <v>39</v>
      </c>
      <c r="B21" s="23" t="s">
        <v>39</v>
      </c>
      <c r="C21" s="23" t="s">
        <v>39</v>
      </c>
    </row>
    <row r="22" spans="1:3">
      <c r="A22" s="23" t="s">
        <v>39</v>
      </c>
      <c r="B22" s="23" t="s">
        <v>39</v>
      </c>
      <c r="C22" s="23" t="s">
        <v>39</v>
      </c>
    </row>
  </sheetData>
  <mergeCells count="3">
    <mergeCell ref="A1:F1"/>
    <mergeCell ref="A13:C13"/>
    <mergeCell ref="A20:C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showGridLines="0" zoomScale="160" zoomScaleNormal="160" workbookViewId="0">
      <selection activeCell="D4" sqref="D4"/>
    </sheetView>
  </sheetViews>
  <sheetFormatPr defaultRowHeight="14.25"/>
  <cols>
    <col min="1" max="1" width="22" customWidth="1"/>
    <col min="2" max="2" width="38" customWidth="1"/>
    <col min="3" max="3" width="18" customWidth="1"/>
    <col min="4" max="4" width="35" customWidth="1"/>
    <col min="5" max="5" width="2" customWidth="1"/>
    <col min="6" max="6" width="4.125" bestFit="1" customWidth="1"/>
    <col min="7" max="7" width="18.625" bestFit="1" customWidth="1"/>
    <col min="8" max="8" width="11" bestFit="1" customWidth="1"/>
  </cols>
  <sheetData>
    <row r="1" spans="1:8" ht="27.95" customHeight="1">
      <c r="A1" s="19" t="s">
        <v>40</v>
      </c>
      <c r="B1" s="19" t="s">
        <v>40</v>
      </c>
      <c r="C1" s="19" t="s">
        <v>40</v>
      </c>
      <c r="D1" s="19" t="s">
        <v>40</v>
      </c>
      <c r="E1" s="19" t="s">
        <v>40</v>
      </c>
      <c r="F1" s="19" t="s">
        <v>40</v>
      </c>
      <c r="G1" s="19" t="s">
        <v>40</v>
      </c>
      <c r="H1" s="19" t="s">
        <v>40</v>
      </c>
    </row>
    <row r="3" spans="1:8" ht="15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</row>
    <row r="4" spans="1:8">
      <c r="A4" s="3" t="s">
        <v>49</v>
      </c>
      <c r="B4" s="9">
        <f>Premissas!$B$15</f>
        <v>9156.6706345572748</v>
      </c>
      <c r="C4" s="8">
        <f>Premissas!$B$5</f>
        <v>9.11E-2</v>
      </c>
      <c r="D4" s="9">
        <f>B4*C4</f>
        <v>834.17269480816776</v>
      </c>
      <c r="E4" s="3" t="s">
        <v>50</v>
      </c>
      <c r="F4" s="3" t="s">
        <v>51</v>
      </c>
      <c r="G4" s="3" t="s">
        <v>52</v>
      </c>
      <c r="H4" s="3" t="s">
        <v>53</v>
      </c>
    </row>
    <row r="5" spans="1:8">
      <c r="A5" s="3" t="s">
        <v>54</v>
      </c>
      <c r="B5" s="9">
        <f>Premissas!$B$15</f>
        <v>9156.6706345572748</v>
      </c>
      <c r="C5" s="8">
        <f>Premissas!$B$6</f>
        <v>5.0000000000000001E-4</v>
      </c>
      <c r="D5" s="9">
        <f>B5*C5</f>
        <v>4.5783353172786372</v>
      </c>
      <c r="E5" s="3" t="s">
        <v>55</v>
      </c>
      <c r="F5" s="3" t="s">
        <v>51</v>
      </c>
      <c r="G5" s="3" t="s">
        <v>52</v>
      </c>
      <c r="H5" s="3" t="s">
        <v>53</v>
      </c>
    </row>
    <row r="6" spans="1:8">
      <c r="A6" s="3" t="s">
        <v>56</v>
      </c>
      <c r="B6" s="9">
        <f>Premissas!$B$15</f>
        <v>9156.6706345572748</v>
      </c>
      <c r="C6" s="8">
        <f>Premissas!$B$7</f>
        <v>5.0000000000000001E-4</v>
      </c>
      <c r="D6" s="9">
        <f>B6*C6</f>
        <v>4.5783353172786372</v>
      </c>
      <c r="E6" s="3" t="s">
        <v>57</v>
      </c>
      <c r="F6" s="3" t="s">
        <v>51</v>
      </c>
      <c r="G6" s="3" t="s">
        <v>52</v>
      </c>
      <c r="H6" s="3" t="s">
        <v>53</v>
      </c>
    </row>
    <row r="7" spans="1:8">
      <c r="A7" s="10" t="s">
        <v>58</v>
      </c>
      <c r="B7" s="12">
        <f>SUM(B4:B6)</f>
        <v>27470.011903671824</v>
      </c>
      <c r="C7" s="14">
        <f>SUM(C4:C6)</f>
        <v>9.2100000000000001E-2</v>
      </c>
      <c r="D7" s="12">
        <f>SUM(D4:D6)</f>
        <v>843.32936544272502</v>
      </c>
      <c r="E7" s="10" t="s">
        <v>59</v>
      </c>
      <c r="F7" s="10" t="s">
        <v>51</v>
      </c>
      <c r="G7" s="10" t="s">
        <v>60</v>
      </c>
      <c r="H7" s="10"/>
    </row>
    <row r="8" spans="1:8">
      <c r="A8" s="11" t="s">
        <v>61</v>
      </c>
      <c r="B8" s="13">
        <f>Premissas!$B$4</f>
        <v>10000</v>
      </c>
      <c r="C8" s="11"/>
      <c r="D8" s="13">
        <f>Premissas!$B$15</f>
        <v>9156.6706345572748</v>
      </c>
      <c r="E8" s="11" t="s">
        <v>62</v>
      </c>
      <c r="F8" s="11" t="s">
        <v>51</v>
      </c>
      <c r="G8" s="11" t="s">
        <v>60</v>
      </c>
      <c r="H8" s="11"/>
    </row>
    <row r="10" spans="1:8" ht="21.95" customHeight="1">
      <c r="A10" s="22" t="s">
        <v>63</v>
      </c>
      <c r="B10" s="22" t="s">
        <v>63</v>
      </c>
      <c r="C10" s="22" t="s">
        <v>63</v>
      </c>
      <c r="D10" s="22" t="s">
        <v>63</v>
      </c>
      <c r="E10" s="22" t="s">
        <v>63</v>
      </c>
      <c r="F10" s="22" t="s">
        <v>63</v>
      </c>
      <c r="G10" s="22" t="s">
        <v>63</v>
      </c>
      <c r="H10" s="22" t="s">
        <v>63</v>
      </c>
    </row>
    <row r="11" spans="1:8" ht="15">
      <c r="A11" s="2" t="s">
        <v>64</v>
      </c>
      <c r="B11" s="2" t="s">
        <v>65</v>
      </c>
      <c r="C11" s="2" t="s">
        <v>16</v>
      </c>
      <c r="D11" s="2" t="s">
        <v>66</v>
      </c>
      <c r="E11" s="2"/>
      <c r="F11" s="2"/>
      <c r="G11" s="2"/>
      <c r="H11" s="2"/>
    </row>
    <row r="12" spans="1:8">
      <c r="A12" s="3" t="s">
        <v>67</v>
      </c>
      <c r="B12" s="3" t="s">
        <v>62</v>
      </c>
      <c r="C12" s="9">
        <f>Premissas!$B$15</f>
        <v>9156.6706345572748</v>
      </c>
      <c r="D12" s="3" t="s">
        <v>68</v>
      </c>
      <c r="E12" s="3"/>
      <c r="F12" s="3"/>
      <c r="G12" s="3"/>
      <c r="H12" s="3"/>
    </row>
    <row r="13" spans="1:8">
      <c r="A13" s="3" t="s">
        <v>67</v>
      </c>
      <c r="B13" s="3" t="s">
        <v>69</v>
      </c>
      <c r="C13" s="9">
        <f>D7</f>
        <v>843.32936544272502</v>
      </c>
      <c r="D13" s="3" t="s">
        <v>70</v>
      </c>
      <c r="E13" s="3"/>
      <c r="F13" s="3"/>
      <c r="G13" s="3"/>
      <c r="H13" s="3"/>
    </row>
    <row r="14" spans="1:8">
      <c r="A14" s="3" t="s">
        <v>67</v>
      </c>
      <c r="B14" s="3" t="s">
        <v>71</v>
      </c>
      <c r="C14" s="9">
        <f>Premissas!$B$4</f>
        <v>10000</v>
      </c>
      <c r="D14" s="3" t="s">
        <v>72</v>
      </c>
      <c r="E14" s="3"/>
      <c r="F14" s="3"/>
      <c r="G14" s="3"/>
      <c r="H14" s="3"/>
    </row>
  </sheetData>
  <mergeCells count="2">
    <mergeCell ref="A1:H1"/>
    <mergeCell ref="A10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showGridLines="0" workbookViewId="0">
      <selection sqref="A1:J1"/>
    </sheetView>
  </sheetViews>
  <sheetFormatPr defaultRowHeight="14.25"/>
  <cols>
    <col min="1" max="1" width="16" customWidth="1"/>
    <col min="2" max="2" width="28" customWidth="1"/>
    <col min="3" max="3" width="20" customWidth="1"/>
    <col min="4" max="4" width="14" customWidth="1"/>
    <col min="5" max="5" width="20" customWidth="1"/>
    <col min="6" max="8" width="18" customWidth="1"/>
    <col min="9" max="9" width="16" customWidth="1"/>
    <col min="10" max="10" width="34" customWidth="1"/>
  </cols>
  <sheetData>
    <row r="1" spans="1:10" ht="27.95" customHeight="1">
      <c r="A1" s="19" t="s">
        <v>73</v>
      </c>
      <c r="B1" s="19" t="s">
        <v>73</v>
      </c>
      <c r="C1" s="19" t="s">
        <v>73</v>
      </c>
      <c r="D1" s="19" t="s">
        <v>73</v>
      </c>
      <c r="E1" s="19" t="s">
        <v>73</v>
      </c>
      <c r="F1" s="19" t="s">
        <v>73</v>
      </c>
      <c r="G1" s="19" t="s">
        <v>73</v>
      </c>
      <c r="H1" s="19" t="s">
        <v>73</v>
      </c>
      <c r="I1" s="19" t="s">
        <v>73</v>
      </c>
      <c r="J1" s="19" t="s">
        <v>73</v>
      </c>
    </row>
    <row r="3" spans="1:10" ht="15">
      <c r="A3" s="2" t="s">
        <v>48</v>
      </c>
      <c r="B3" s="2" t="s">
        <v>74</v>
      </c>
      <c r="C3" s="2" t="s">
        <v>75</v>
      </c>
      <c r="D3" s="2" t="s">
        <v>76</v>
      </c>
      <c r="E3" s="2" t="s">
        <v>77</v>
      </c>
      <c r="F3" s="2" t="s">
        <v>78</v>
      </c>
      <c r="G3" s="2" t="s">
        <v>79</v>
      </c>
      <c r="H3" s="2" t="s">
        <v>80</v>
      </c>
      <c r="I3" s="2" t="s">
        <v>81</v>
      </c>
      <c r="J3" s="2" t="s">
        <v>17</v>
      </c>
    </row>
    <row r="4" spans="1:10">
      <c r="A4" s="4" t="s">
        <v>82</v>
      </c>
      <c r="B4" s="4" t="s">
        <v>83</v>
      </c>
      <c r="C4" s="9">
        <f>Premissas!$B$8</f>
        <v>3000</v>
      </c>
      <c r="D4" s="15">
        <f>Premissas!$B$9</f>
        <v>1</v>
      </c>
      <c r="E4" s="9">
        <f>C4*Premissas!$B$5*D4</f>
        <v>273.3</v>
      </c>
      <c r="F4" s="9">
        <f>C4*Premissas!$B$6*D4</f>
        <v>1.5</v>
      </c>
      <c r="G4" s="9">
        <f>C4*Premissas!$B$7*D4</f>
        <v>1.5</v>
      </c>
      <c r="H4" s="9">
        <f>SUM(E4:G4)</f>
        <v>276.3</v>
      </c>
      <c r="I4" s="3" t="s">
        <v>84</v>
      </c>
      <c r="J4" s="3" t="s">
        <v>85</v>
      </c>
    </row>
    <row r="5" spans="1:10">
      <c r="A5" s="4" t="s">
        <v>86</v>
      </c>
      <c r="B5" s="4"/>
      <c r="C5" s="5">
        <v>0</v>
      </c>
      <c r="D5" s="7">
        <v>0</v>
      </c>
      <c r="E5" s="9">
        <f>C5*Premissas!$B$5*D5</f>
        <v>0</v>
      </c>
      <c r="F5" s="9">
        <f>C5*Premissas!$B$6*D5</f>
        <v>0</v>
      </c>
      <c r="G5" s="9">
        <f>C5*Premissas!$B$7*D5</f>
        <v>0</v>
      </c>
      <c r="H5" s="9">
        <f>SUM(E5:G5)</f>
        <v>0</v>
      </c>
      <c r="I5" s="3" t="s">
        <v>84</v>
      </c>
      <c r="J5" s="3"/>
    </row>
    <row r="6" spans="1:10">
      <c r="A6" s="4" t="s">
        <v>87</v>
      </c>
      <c r="B6" s="4"/>
      <c r="C6" s="5">
        <v>0</v>
      </c>
      <c r="D6" s="7">
        <v>0</v>
      </c>
      <c r="E6" s="9">
        <f>C6*Premissas!$B$5*D6</f>
        <v>0</v>
      </c>
      <c r="F6" s="9">
        <f>C6*Premissas!$B$6*D6</f>
        <v>0</v>
      </c>
      <c r="G6" s="9">
        <f>C6*Premissas!$B$7*D6</f>
        <v>0</v>
      </c>
      <c r="H6" s="9">
        <f>SUM(E6:G6)</f>
        <v>0</v>
      </c>
      <c r="I6" s="3" t="s">
        <v>84</v>
      </c>
      <c r="J6" s="3"/>
    </row>
    <row r="7" spans="1:10">
      <c r="A7" s="4" t="s">
        <v>88</v>
      </c>
      <c r="B7" s="4"/>
      <c r="C7" s="5">
        <v>0</v>
      </c>
      <c r="D7" s="7">
        <v>0</v>
      </c>
      <c r="E7" s="9">
        <f>C7*Premissas!$B$5*D7</f>
        <v>0</v>
      </c>
      <c r="F7" s="9">
        <f>C7*Premissas!$B$6*D7</f>
        <v>0</v>
      </c>
      <c r="G7" s="9">
        <f>C7*Premissas!$B$7*D7</f>
        <v>0</v>
      </c>
      <c r="H7" s="9">
        <f>SUM(E7:G7)</f>
        <v>0</v>
      </c>
      <c r="I7" s="3" t="s">
        <v>84</v>
      </c>
      <c r="J7" s="3"/>
    </row>
    <row r="8" spans="1:10">
      <c r="A8" s="4"/>
      <c r="B8" s="4"/>
      <c r="C8" s="5">
        <v>0</v>
      </c>
      <c r="D8" s="7">
        <v>0</v>
      </c>
      <c r="E8" s="9">
        <f>C8*Premissas!$B$5*D8</f>
        <v>0</v>
      </c>
      <c r="F8" s="9">
        <f>C8*Premissas!$B$6*D8</f>
        <v>0</v>
      </c>
      <c r="G8" s="9">
        <f>C8*Premissas!$B$7*D8</f>
        <v>0</v>
      </c>
      <c r="H8" s="9">
        <f>SUM(E8:G8)</f>
        <v>0</v>
      </c>
      <c r="I8" s="3"/>
      <c r="J8" s="3"/>
    </row>
    <row r="10" spans="1:10" ht="21.95" customHeight="1">
      <c r="A10" s="22" t="s">
        <v>89</v>
      </c>
      <c r="B10" s="22" t="s">
        <v>89</v>
      </c>
      <c r="C10" s="22" t="s">
        <v>89</v>
      </c>
      <c r="D10" s="22" t="s">
        <v>89</v>
      </c>
      <c r="E10" s="22" t="s">
        <v>89</v>
      </c>
      <c r="F10" s="22" t="s">
        <v>89</v>
      </c>
      <c r="G10" s="22" t="s">
        <v>89</v>
      </c>
      <c r="H10" s="22" t="s">
        <v>89</v>
      </c>
      <c r="I10" s="22" t="s">
        <v>89</v>
      </c>
      <c r="J10" s="22" t="s">
        <v>89</v>
      </c>
    </row>
    <row r="11" spans="1:10" ht="15">
      <c r="A11" s="2" t="s">
        <v>90</v>
      </c>
      <c r="B11" s="2" t="s">
        <v>64</v>
      </c>
      <c r="C11" s="2" t="s">
        <v>65</v>
      </c>
      <c r="D11" s="2" t="s">
        <v>16</v>
      </c>
      <c r="E11" s="2" t="s">
        <v>91</v>
      </c>
    </row>
    <row r="12" spans="1:10">
      <c r="A12" s="3" t="s">
        <v>92</v>
      </c>
      <c r="B12" s="3" t="s">
        <v>93</v>
      </c>
      <c r="C12" s="3" t="s">
        <v>94</v>
      </c>
      <c r="D12" s="3" t="s">
        <v>95</v>
      </c>
      <c r="E12" s="3" t="s">
        <v>96</v>
      </c>
    </row>
    <row r="13" spans="1:10">
      <c r="A13" s="3" t="s">
        <v>97</v>
      </c>
      <c r="B13" s="3" t="s">
        <v>98</v>
      </c>
      <c r="C13" s="3" t="s">
        <v>93</v>
      </c>
      <c r="D13" s="3" t="s">
        <v>99</v>
      </c>
      <c r="E13" s="3" t="s">
        <v>100</v>
      </c>
    </row>
  </sheetData>
  <mergeCells count="2">
    <mergeCell ref="A1:J1"/>
    <mergeCell ref="A10:J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showGridLines="0" zoomScale="150" zoomScaleNormal="150" workbookViewId="0">
      <selection activeCell="C28" sqref="C28"/>
    </sheetView>
  </sheetViews>
  <sheetFormatPr defaultRowHeight="14.25"/>
  <cols>
    <col min="1" max="1" width="20" customWidth="1"/>
    <col min="2" max="2" width="33" customWidth="1"/>
    <col min="3" max="3" width="34" customWidth="1"/>
    <col min="4" max="4" width="26" customWidth="1"/>
    <col min="5" max="5" width="40" customWidth="1"/>
    <col min="6" max="8" width="2" customWidth="1"/>
  </cols>
  <sheetData>
    <row r="1" spans="1:8" ht="27.95" customHeight="1">
      <c r="A1" s="19" t="s">
        <v>101</v>
      </c>
      <c r="B1" s="19" t="s">
        <v>101</v>
      </c>
      <c r="C1" s="19" t="s">
        <v>101</v>
      </c>
      <c r="D1" s="19" t="s">
        <v>101</v>
      </c>
      <c r="E1" s="19" t="s">
        <v>101</v>
      </c>
      <c r="F1" s="19" t="s">
        <v>101</v>
      </c>
      <c r="G1" s="19" t="s">
        <v>101</v>
      </c>
      <c r="H1" s="19" t="s">
        <v>101</v>
      </c>
    </row>
    <row r="3" spans="1:8" ht="15">
      <c r="A3" s="2" t="s">
        <v>41</v>
      </c>
      <c r="B3" s="2" t="s">
        <v>102</v>
      </c>
      <c r="C3" s="2" t="s">
        <v>103</v>
      </c>
      <c r="D3" s="2" t="s">
        <v>104</v>
      </c>
      <c r="E3" s="2" t="s">
        <v>105</v>
      </c>
      <c r="F3" s="2" t="s">
        <v>106</v>
      </c>
    </row>
    <row r="4" spans="1:8">
      <c r="A4" s="3" t="s">
        <v>49</v>
      </c>
      <c r="B4" s="9">
        <f>Débitos!$D$4</f>
        <v>834.17269480816776</v>
      </c>
      <c r="C4" s="9">
        <f>SUM(Créditos!E4:E8)</f>
        <v>273.3</v>
      </c>
      <c r="D4" s="9">
        <f>MAX(0,B4-C4)</f>
        <v>560.87269480816781</v>
      </c>
      <c r="E4" s="3" t="str">
        <f>Premissas!$B$11</f>
        <v>Compensação</v>
      </c>
      <c r="F4" s="3" t="s">
        <v>107</v>
      </c>
    </row>
    <row r="5" spans="1:8">
      <c r="A5" s="3" t="s">
        <v>54</v>
      </c>
      <c r="B5" s="9">
        <f>Débitos!$D$5</f>
        <v>4.5783353172786372</v>
      </c>
      <c r="C5" s="9">
        <f>SUM(Créditos!F4:F8)</f>
        <v>1.5</v>
      </c>
      <c r="D5" s="9">
        <f>MAX(0,B5-C5)</f>
        <v>3.0783353172786372</v>
      </c>
      <c r="E5" s="3" t="str">
        <f>Premissas!$B$11</f>
        <v>Compensação</v>
      </c>
      <c r="F5" s="3" t="s">
        <v>108</v>
      </c>
    </row>
    <row r="6" spans="1:8">
      <c r="A6" s="3" t="s">
        <v>56</v>
      </c>
      <c r="B6" s="9">
        <f>Débitos!$D$6</f>
        <v>4.5783353172786372</v>
      </c>
      <c r="C6" s="9">
        <f>SUM(Créditos!G4:G8)</f>
        <v>1.5</v>
      </c>
      <c r="D6" s="9">
        <f>MAX(0,B6-C6)</f>
        <v>3.0783353172786372</v>
      </c>
      <c r="E6" s="3" t="str">
        <f>Premissas!$B$11</f>
        <v>Compensação</v>
      </c>
      <c r="F6" s="3" t="s">
        <v>109</v>
      </c>
    </row>
    <row r="7" spans="1:8">
      <c r="A7" s="10" t="s">
        <v>58</v>
      </c>
      <c r="B7" s="12">
        <f>SUM(B4:B6)</f>
        <v>843.32936544272502</v>
      </c>
      <c r="C7" s="12">
        <f>SUM(C4:C6)</f>
        <v>276.3</v>
      </c>
      <c r="D7" s="12">
        <f>SUM(D4:D6)</f>
        <v>567.02936544272507</v>
      </c>
      <c r="E7" s="10"/>
      <c r="F7" s="10" t="s">
        <v>110</v>
      </c>
    </row>
    <row r="10" spans="1:8" ht="21.95" customHeight="1">
      <c r="A10" s="22" t="s">
        <v>111</v>
      </c>
      <c r="B10" s="22" t="s">
        <v>111</v>
      </c>
      <c r="C10" s="22" t="s">
        <v>111</v>
      </c>
      <c r="D10" s="22" t="s">
        <v>111</v>
      </c>
      <c r="E10" s="22" t="s">
        <v>111</v>
      </c>
      <c r="F10" s="22" t="s">
        <v>111</v>
      </c>
      <c r="G10" s="22" t="s">
        <v>111</v>
      </c>
      <c r="H10" s="22" t="s">
        <v>111</v>
      </c>
    </row>
    <row r="11" spans="1:8" ht="15">
      <c r="A11" s="16" t="s">
        <v>112</v>
      </c>
      <c r="B11" s="16" t="s">
        <v>113</v>
      </c>
      <c r="C11" s="16" t="s">
        <v>114</v>
      </c>
      <c r="D11" s="16" t="s">
        <v>115</v>
      </c>
      <c r="E11" s="16" t="s">
        <v>116</v>
      </c>
    </row>
    <row r="12" spans="1:8">
      <c r="A12" s="1" t="s">
        <v>31</v>
      </c>
      <c r="B12" s="1" t="s">
        <v>117</v>
      </c>
      <c r="C12" s="1" t="s">
        <v>118</v>
      </c>
      <c r="D12" s="1" t="s">
        <v>119</v>
      </c>
      <c r="E12" s="1" t="s">
        <v>120</v>
      </c>
    </row>
    <row r="13" spans="1:8">
      <c r="A13" s="1" t="s">
        <v>121</v>
      </c>
      <c r="B13" s="1" t="s">
        <v>117</v>
      </c>
      <c r="C13" s="1" t="s">
        <v>122</v>
      </c>
      <c r="D13" s="1" t="s">
        <v>123</v>
      </c>
      <c r="E13" s="1" t="s">
        <v>124</v>
      </c>
    </row>
    <row r="14" spans="1:8" ht="28.5">
      <c r="A14" s="1" t="s">
        <v>125</v>
      </c>
      <c r="B14" s="1" t="s">
        <v>117</v>
      </c>
      <c r="C14" s="1" t="s">
        <v>126</v>
      </c>
      <c r="D14" s="1" t="s">
        <v>127</v>
      </c>
      <c r="E14" s="1" t="s">
        <v>128</v>
      </c>
    </row>
    <row r="15" spans="1:8" ht="28.5">
      <c r="A15" s="1" t="s">
        <v>129</v>
      </c>
      <c r="B15" s="1" t="s">
        <v>117</v>
      </c>
      <c r="C15" s="1" t="s">
        <v>130</v>
      </c>
      <c r="D15" s="1" t="s">
        <v>131</v>
      </c>
      <c r="E15" s="1" t="s">
        <v>132</v>
      </c>
    </row>
    <row r="16" spans="1:8" ht="28.5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</row>
    <row r="18" spans="1:8">
      <c r="A18" s="23" t="s">
        <v>138</v>
      </c>
      <c r="B18" s="23" t="s">
        <v>138</v>
      </c>
      <c r="C18" s="23" t="s">
        <v>138</v>
      </c>
      <c r="D18" s="23" t="s">
        <v>138</v>
      </c>
      <c r="E18" s="23" t="s">
        <v>138</v>
      </c>
      <c r="F18" s="23" t="s">
        <v>138</v>
      </c>
      <c r="G18" s="23" t="s">
        <v>138</v>
      </c>
      <c r="H18" s="23" t="s">
        <v>138</v>
      </c>
    </row>
    <row r="19" spans="1:8">
      <c r="A19" s="23" t="s">
        <v>138</v>
      </c>
      <c r="B19" s="23" t="s">
        <v>138</v>
      </c>
      <c r="C19" s="23" t="s">
        <v>138</v>
      </c>
      <c r="D19" s="23" t="s">
        <v>138</v>
      </c>
      <c r="E19" s="23" t="s">
        <v>138</v>
      </c>
      <c r="F19" s="23" t="s">
        <v>138</v>
      </c>
      <c r="G19" s="23" t="s">
        <v>138</v>
      </c>
      <c r="H19" s="23" t="s">
        <v>138</v>
      </c>
    </row>
    <row r="20" spans="1:8">
      <c r="A20" s="23" t="s">
        <v>138</v>
      </c>
      <c r="B20" s="23" t="s">
        <v>138</v>
      </c>
      <c r="C20" s="23" t="s">
        <v>138</v>
      </c>
      <c r="D20" s="23" t="s">
        <v>138</v>
      </c>
      <c r="E20" s="23" t="s">
        <v>138</v>
      </c>
      <c r="F20" s="23" t="s">
        <v>138</v>
      </c>
      <c r="G20" s="23" t="s">
        <v>138</v>
      </c>
      <c r="H20" s="23" t="s">
        <v>138</v>
      </c>
    </row>
  </sheetData>
  <mergeCells count="3">
    <mergeCell ref="A1:H1"/>
    <mergeCell ref="A10:H10"/>
    <mergeCell ref="A18:H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showGridLines="0" zoomScale="140" zoomScaleNormal="140" workbookViewId="0">
      <selection activeCell="F27" sqref="F27"/>
    </sheetView>
  </sheetViews>
  <sheetFormatPr defaultRowHeight="14.25"/>
  <cols>
    <col min="1" max="1" width="14.375" bestFit="1" customWidth="1"/>
    <col min="2" max="3" width="19.375" bestFit="1" customWidth="1"/>
    <col min="4" max="4" width="15.625" bestFit="1" customWidth="1"/>
    <col min="5" max="5" width="29.625" bestFit="1" customWidth="1"/>
    <col min="6" max="6" width="9.625" bestFit="1" customWidth="1"/>
    <col min="7" max="7" width="24.75" bestFit="1" customWidth="1"/>
  </cols>
  <sheetData>
    <row r="1" spans="1:7" ht="27.95" customHeight="1">
      <c r="A1" s="19" t="s">
        <v>139</v>
      </c>
      <c r="B1" s="19" t="s">
        <v>139</v>
      </c>
      <c r="C1" s="19" t="s">
        <v>139</v>
      </c>
      <c r="D1" s="19" t="s">
        <v>139</v>
      </c>
      <c r="E1" s="19" t="s">
        <v>139</v>
      </c>
      <c r="F1" s="19" t="s">
        <v>139</v>
      </c>
      <c r="G1" s="19" t="s">
        <v>139</v>
      </c>
    </row>
    <row r="3" spans="1:7" ht="15">
      <c r="A3" s="16" t="s">
        <v>140</v>
      </c>
      <c r="B3" s="16" t="s">
        <v>64</v>
      </c>
      <c r="C3" s="16" t="s">
        <v>65</v>
      </c>
      <c r="D3" s="16" t="s">
        <v>49</v>
      </c>
      <c r="E3" s="16" t="s">
        <v>54</v>
      </c>
      <c r="F3" s="16" t="s">
        <v>56</v>
      </c>
      <c r="G3" s="16" t="s">
        <v>17</v>
      </c>
    </row>
    <row r="4" spans="1:7">
      <c r="A4" s="1" t="s">
        <v>141</v>
      </c>
      <c r="B4" s="1" t="s">
        <v>67</v>
      </c>
      <c r="C4" s="1" t="s">
        <v>62</v>
      </c>
      <c r="D4" s="17">
        <f>Premissas!$B$15</f>
        <v>9156.6706345572748</v>
      </c>
      <c r="E4" s="17">
        <f>0</f>
        <v>0</v>
      </c>
      <c r="F4" s="17">
        <f>0</f>
        <v>0</v>
      </c>
      <c r="G4" s="1" t="s">
        <v>142</v>
      </c>
    </row>
    <row r="5" spans="1:7">
      <c r="A5" s="1" t="s">
        <v>141</v>
      </c>
      <c r="B5" s="1" t="s">
        <v>67</v>
      </c>
      <c r="C5" s="1" t="s">
        <v>50</v>
      </c>
      <c r="D5" s="17">
        <f>Débitos!$D$4</f>
        <v>834.17269480816776</v>
      </c>
      <c r="E5" s="17">
        <f>0</f>
        <v>0</v>
      </c>
      <c r="F5" s="17">
        <f>0</f>
        <v>0</v>
      </c>
      <c r="G5" s="1" t="s">
        <v>143</v>
      </c>
    </row>
    <row r="6" spans="1:7">
      <c r="A6" s="1" t="s">
        <v>141</v>
      </c>
      <c r="B6" s="1" t="s">
        <v>67</v>
      </c>
      <c r="C6" s="1" t="s">
        <v>55</v>
      </c>
      <c r="D6" s="17">
        <f>0</f>
        <v>0</v>
      </c>
      <c r="E6" s="17">
        <f>Débitos!$D$5</f>
        <v>4.5783353172786372</v>
      </c>
      <c r="F6" s="17">
        <f>0</f>
        <v>0</v>
      </c>
      <c r="G6" s="1" t="s">
        <v>143</v>
      </c>
    </row>
    <row r="7" spans="1:7">
      <c r="A7" s="1" t="s">
        <v>141</v>
      </c>
      <c r="B7" s="1" t="s">
        <v>67</v>
      </c>
      <c r="C7" s="1" t="s">
        <v>57</v>
      </c>
      <c r="D7" s="17">
        <f>0</f>
        <v>0</v>
      </c>
      <c r="E7" s="17">
        <f>0</f>
        <v>0</v>
      </c>
      <c r="F7" s="17">
        <f>Débitos!$D$6</f>
        <v>4.5783353172786372</v>
      </c>
      <c r="G7" s="1" t="s">
        <v>143</v>
      </c>
    </row>
    <row r="8" spans="1:7">
      <c r="A8" s="1" t="s">
        <v>144</v>
      </c>
      <c r="B8" s="1" t="s">
        <v>145</v>
      </c>
      <c r="C8" s="1" t="s">
        <v>94</v>
      </c>
      <c r="D8" s="17">
        <f>0</f>
        <v>0</v>
      </c>
      <c r="E8" s="17">
        <f>0</f>
        <v>0</v>
      </c>
      <c r="F8" s="17">
        <f>0</f>
        <v>0</v>
      </c>
      <c r="G8" s="1" t="s">
        <v>146</v>
      </c>
    </row>
    <row r="9" spans="1:7">
      <c r="A9" s="1" t="s">
        <v>144</v>
      </c>
      <c r="B9" s="1" t="s">
        <v>93</v>
      </c>
      <c r="C9" s="1" t="s">
        <v>94</v>
      </c>
      <c r="D9" s="17">
        <f>SUM(Créditos!E4:E8)</f>
        <v>273.3</v>
      </c>
      <c r="E9" s="17">
        <f>SUM(Créditos!F4:F8)</f>
        <v>1.5</v>
      </c>
      <c r="F9" s="17">
        <f>SUM(Créditos!G4:G8)</f>
        <v>1.5</v>
      </c>
      <c r="G9" s="1" t="s">
        <v>147</v>
      </c>
    </row>
    <row r="10" spans="1:7">
      <c r="A10" s="1" t="s">
        <v>97</v>
      </c>
      <c r="B10" s="1" t="s">
        <v>98</v>
      </c>
      <c r="C10" s="1" t="s">
        <v>93</v>
      </c>
      <c r="D10" s="17">
        <f>SUM(Créditos!E4:E8)</f>
        <v>273.3</v>
      </c>
      <c r="E10" s="17">
        <f>SUM(Créditos!F4:F8)</f>
        <v>1.5</v>
      </c>
      <c r="F10" s="17">
        <f>SUM(Créditos!G4:G8)</f>
        <v>1.5</v>
      </c>
      <c r="G10" s="1" t="s">
        <v>148</v>
      </c>
    </row>
    <row r="11" spans="1:7">
      <c r="A11" s="1" t="s">
        <v>31</v>
      </c>
      <c r="B11" s="1" t="s">
        <v>149</v>
      </c>
      <c r="C11" s="1" t="s">
        <v>98</v>
      </c>
      <c r="D11" s="17">
        <f>MIN(Débitos!$D$4,SUM(Créditos!E4:E8))</f>
        <v>273.3</v>
      </c>
      <c r="E11" s="17">
        <f>MIN(Débitos!$D$5,SUM(Créditos!F4:F8))</f>
        <v>1.5</v>
      </c>
      <c r="F11" s="17">
        <f>MIN(Débitos!$D$6,SUM(Créditos!G4:G8))</f>
        <v>1.5</v>
      </c>
      <c r="G11" s="1" t="s">
        <v>150</v>
      </c>
    </row>
    <row r="13" spans="1:7" ht="21.95" customHeight="1">
      <c r="A13" s="22" t="s">
        <v>151</v>
      </c>
      <c r="B13" s="22" t="s">
        <v>151</v>
      </c>
      <c r="C13" s="22" t="s">
        <v>151</v>
      </c>
      <c r="D13" s="22" t="s">
        <v>151</v>
      </c>
      <c r="E13" s="22" t="s">
        <v>151</v>
      </c>
      <c r="F13" s="22" t="s">
        <v>151</v>
      </c>
      <c r="G13" s="22" t="s">
        <v>151</v>
      </c>
    </row>
    <row r="14" spans="1:7" ht="15">
      <c r="A14" s="2" t="s">
        <v>41</v>
      </c>
      <c r="B14" s="2" t="s">
        <v>64</v>
      </c>
      <c r="C14" s="2" t="s">
        <v>65</v>
      </c>
      <c r="D14" s="2" t="s">
        <v>104</v>
      </c>
      <c r="E14" s="2" t="s">
        <v>152</v>
      </c>
      <c r="F14" s="2" t="s">
        <v>16</v>
      </c>
    </row>
    <row r="15" spans="1:7">
      <c r="A15" s="3" t="s">
        <v>49</v>
      </c>
      <c r="B15" s="9">
        <f>Débitos!$D$4</f>
        <v>834.17269480816776</v>
      </c>
      <c r="C15" s="9">
        <f>SUM(Créditos!E4:E8)</f>
        <v>273.3</v>
      </c>
      <c r="D15" s="9">
        <f>MAX(0,B15-C15)</f>
        <v>560.87269480816781</v>
      </c>
      <c r="E15" s="3" t="s">
        <v>153</v>
      </c>
      <c r="F15" s="9">
        <f>D15</f>
        <v>560.87269480816781</v>
      </c>
    </row>
    <row r="16" spans="1:7">
      <c r="A16" s="3" t="s">
        <v>54</v>
      </c>
      <c r="B16" s="9">
        <f>Débitos!$D$5</f>
        <v>4.5783353172786372</v>
      </c>
      <c r="C16" s="9">
        <f>SUM(Créditos!F4:F8)</f>
        <v>1.5</v>
      </c>
      <c r="D16" s="9">
        <f>MAX(0,B16-C16)</f>
        <v>3.0783353172786372</v>
      </c>
      <c r="E16" s="3" t="s">
        <v>154</v>
      </c>
      <c r="F16" s="9">
        <f>D16</f>
        <v>3.0783353172786372</v>
      </c>
    </row>
    <row r="17" spans="1:7">
      <c r="A17" s="3" t="s">
        <v>56</v>
      </c>
      <c r="B17" s="9">
        <f>Débitos!$D$6</f>
        <v>4.5783353172786372</v>
      </c>
      <c r="C17" s="9">
        <f>SUM(Créditos!G4:G8)</f>
        <v>1.5</v>
      </c>
      <c r="D17" s="9">
        <f>MAX(0,B17-C17)</f>
        <v>3.0783353172786372</v>
      </c>
      <c r="E17" s="3" t="s">
        <v>155</v>
      </c>
      <c r="F17" s="9">
        <f>D17</f>
        <v>3.0783353172786372</v>
      </c>
    </row>
    <row r="20" spans="1:7">
      <c r="A20" s="23" t="s">
        <v>156</v>
      </c>
      <c r="B20" s="23" t="s">
        <v>156</v>
      </c>
      <c r="C20" s="23" t="s">
        <v>156</v>
      </c>
      <c r="D20" s="23" t="s">
        <v>156</v>
      </c>
      <c r="E20" s="23" t="s">
        <v>156</v>
      </c>
      <c r="F20" s="23" t="s">
        <v>156</v>
      </c>
      <c r="G20" s="23" t="s">
        <v>156</v>
      </c>
    </row>
    <row r="21" spans="1:7">
      <c r="A21" s="23" t="s">
        <v>156</v>
      </c>
      <c r="B21" s="23" t="s">
        <v>156</v>
      </c>
      <c r="C21" s="23" t="s">
        <v>156</v>
      </c>
      <c r="D21" s="23" t="s">
        <v>156</v>
      </c>
      <c r="E21" s="23" t="s">
        <v>156</v>
      </c>
      <c r="F21" s="23" t="s">
        <v>156</v>
      </c>
      <c r="G21" s="23" t="s">
        <v>156</v>
      </c>
    </row>
    <row r="22" spans="1:7">
      <c r="A22" s="23" t="s">
        <v>156</v>
      </c>
      <c r="B22" s="23" t="s">
        <v>156</v>
      </c>
      <c r="C22" s="23" t="s">
        <v>156</v>
      </c>
      <c r="D22" s="23" t="s">
        <v>156</v>
      </c>
      <c r="E22" s="23" t="s">
        <v>156</v>
      </c>
      <c r="F22" s="23" t="s">
        <v>156</v>
      </c>
      <c r="G22" s="23" t="s">
        <v>156</v>
      </c>
    </row>
  </sheetData>
  <mergeCells count="3">
    <mergeCell ref="A1:G1"/>
    <mergeCell ref="A13:G13"/>
    <mergeCell ref="A20:G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showGridLines="0" zoomScale="160" zoomScaleNormal="160" workbookViewId="0">
      <selection activeCell="F15" sqref="F15"/>
    </sheetView>
  </sheetViews>
  <sheetFormatPr defaultRowHeight="14.25"/>
  <cols>
    <col min="1" max="1" width="48" customWidth="1"/>
    <col min="2" max="2" width="16" customWidth="1"/>
    <col min="3" max="3" width="24" customWidth="1"/>
    <col min="4" max="4" width="45" customWidth="1"/>
    <col min="5" max="5" width="9.25" bestFit="1" customWidth="1"/>
    <col min="6" max="6" width="28" bestFit="1" customWidth="1"/>
  </cols>
  <sheetData>
    <row r="1" spans="1:6" ht="27.95" customHeight="1">
      <c r="A1" s="19" t="s">
        <v>157</v>
      </c>
      <c r="B1" s="19" t="s">
        <v>157</v>
      </c>
      <c r="C1" s="19" t="s">
        <v>157</v>
      </c>
      <c r="D1" s="19" t="s">
        <v>157</v>
      </c>
      <c r="E1" s="19" t="s">
        <v>157</v>
      </c>
      <c r="F1" s="19" t="s">
        <v>157</v>
      </c>
    </row>
    <row r="3" spans="1:6" ht="15">
      <c r="A3" s="2" t="s">
        <v>158</v>
      </c>
      <c r="B3" s="2" t="s">
        <v>49</v>
      </c>
      <c r="C3" s="2" t="s">
        <v>54</v>
      </c>
      <c r="D3" s="2" t="s">
        <v>56</v>
      </c>
      <c r="E3" s="2" t="s">
        <v>159</v>
      </c>
      <c r="F3" s="2" t="s">
        <v>160</v>
      </c>
    </row>
    <row r="4" spans="1:6">
      <c r="A4" s="3" t="s">
        <v>161</v>
      </c>
      <c r="B4" s="9">
        <f>SUM(Créditos!E4:E8)</f>
        <v>273.3</v>
      </c>
      <c r="C4" s="9">
        <f>SUM(Créditos!F4:F8)</f>
        <v>1.5</v>
      </c>
      <c r="D4" s="9">
        <f>SUM(Créditos!G4:G8)</f>
        <v>1.5</v>
      </c>
      <c r="E4" s="9">
        <f>SUM(B4:D4)</f>
        <v>276.3</v>
      </c>
      <c r="F4" s="3" t="s">
        <v>162</v>
      </c>
    </row>
    <row r="5" spans="1:6">
      <c r="A5" s="3" t="s">
        <v>163</v>
      </c>
      <c r="B5" s="9">
        <f>SUM(Créditos!E4:E8)</f>
        <v>273.3</v>
      </c>
      <c r="C5" s="9">
        <f>SUM(Créditos!F4:F8)</f>
        <v>1.5</v>
      </c>
      <c r="D5" s="9">
        <f>SUM(Créditos!G4:G8)</f>
        <v>1.5</v>
      </c>
      <c r="E5" s="9">
        <f>SUM(B5:D5)</f>
        <v>276.3</v>
      </c>
      <c r="F5" s="3" t="s">
        <v>164</v>
      </c>
    </row>
    <row r="6" spans="1:6">
      <c r="A6" s="3" t="s">
        <v>165</v>
      </c>
      <c r="B6" s="9">
        <f>Débitos!$D$4</f>
        <v>834.17269480816776</v>
      </c>
      <c r="C6" s="9">
        <f>Débitos!$D$5</f>
        <v>4.5783353172786372</v>
      </c>
      <c r="D6" s="9">
        <f>Débitos!$D$6</f>
        <v>4.5783353172786372</v>
      </c>
      <c r="E6" s="9">
        <f>SUM(B6:D6)</f>
        <v>843.32936544272502</v>
      </c>
      <c r="F6" s="3" t="s">
        <v>166</v>
      </c>
    </row>
    <row r="7" spans="1:6">
      <c r="A7" s="3" t="s">
        <v>167</v>
      </c>
      <c r="B7" s="9">
        <f>Apuração!$D$4</f>
        <v>560.87269480816781</v>
      </c>
      <c r="C7" s="9">
        <f>Apuração!$D$5</f>
        <v>3.0783353172786372</v>
      </c>
      <c r="D7" s="9">
        <f>Apuração!$D$6</f>
        <v>3.0783353172786372</v>
      </c>
      <c r="E7" s="9">
        <f>SUM(B7:D7)</f>
        <v>567.02936544272507</v>
      </c>
      <c r="F7" s="3" t="s">
        <v>168</v>
      </c>
    </row>
    <row r="8" spans="1:6" ht="15">
      <c r="A8" s="18" t="s">
        <v>81</v>
      </c>
      <c r="B8" s="18" t="s">
        <v>169</v>
      </c>
      <c r="C8" s="18" t="s">
        <v>169</v>
      </c>
      <c r="D8" s="18" t="s">
        <v>169</v>
      </c>
      <c r="E8" s="18" t="s">
        <v>169</v>
      </c>
      <c r="F8" s="18" t="s">
        <v>170</v>
      </c>
    </row>
    <row r="10" spans="1:6" ht="21.95" customHeight="1">
      <c r="A10" s="22" t="s">
        <v>171</v>
      </c>
      <c r="B10" s="22" t="s">
        <v>171</v>
      </c>
      <c r="C10" s="22" t="s">
        <v>171</v>
      </c>
      <c r="D10" s="22" t="s">
        <v>171</v>
      </c>
      <c r="E10" s="22" t="s">
        <v>171</v>
      </c>
      <c r="F10" s="22" t="s">
        <v>171</v>
      </c>
    </row>
    <row r="11" spans="1:6" ht="15">
      <c r="A11" s="2" t="s">
        <v>172</v>
      </c>
      <c r="B11" s="2" t="s">
        <v>173</v>
      </c>
      <c r="C11" s="2" t="s">
        <v>174</v>
      </c>
      <c r="D11" s="2" t="s">
        <v>175</v>
      </c>
    </row>
    <row r="12" spans="1:6">
      <c r="A12" s="3" t="s">
        <v>176</v>
      </c>
      <c r="B12" s="4" t="s">
        <v>177</v>
      </c>
      <c r="C12" s="3"/>
      <c r="D12" s="3"/>
    </row>
    <row r="13" spans="1:6">
      <c r="A13" s="3" t="s">
        <v>178</v>
      </c>
      <c r="B13" s="4" t="s">
        <v>177</v>
      </c>
      <c r="C13" s="3"/>
      <c r="D13" s="3"/>
    </row>
    <row r="14" spans="1:6">
      <c r="A14" s="3" t="s">
        <v>179</v>
      </c>
      <c r="B14" s="4" t="s">
        <v>177</v>
      </c>
      <c r="C14" s="3"/>
      <c r="D14" s="3"/>
    </row>
    <row r="15" spans="1:6">
      <c r="A15" s="3" t="s">
        <v>180</v>
      </c>
      <c r="B15" s="4" t="s">
        <v>177</v>
      </c>
      <c r="C15" s="3"/>
      <c r="D15" s="3"/>
    </row>
  </sheetData>
  <mergeCells count="2">
    <mergeCell ref="A1:F1"/>
    <mergeCell ref="A10:F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3576-3312-4658-AF19-D972B649A01E}">
  <dimension ref="C2:I22"/>
  <sheetViews>
    <sheetView zoomScale="240" zoomScaleNormal="240" workbookViewId="0">
      <selection activeCell="E12" sqref="E12"/>
    </sheetView>
  </sheetViews>
  <sheetFormatPr defaultRowHeight="14.25"/>
  <cols>
    <col min="3" max="3" width="13.75" bestFit="1" customWidth="1"/>
    <col min="4" max="4" width="11" bestFit="1" customWidth="1"/>
    <col min="5" max="5" width="11.5" style="24" customWidth="1"/>
    <col min="8" max="8" width="30.375" bestFit="1" customWidth="1"/>
  </cols>
  <sheetData>
    <row r="2" spans="3:9" ht="15">
      <c r="D2" s="27">
        <v>2026</v>
      </c>
      <c r="E2" s="28" t="s">
        <v>186</v>
      </c>
      <c r="G2" t="s">
        <v>187</v>
      </c>
      <c r="H2" t="s">
        <v>188</v>
      </c>
      <c r="I2" s="24">
        <f>E3</f>
        <v>10000</v>
      </c>
    </row>
    <row r="3" spans="3:9" ht="15">
      <c r="C3" s="27" t="s">
        <v>182</v>
      </c>
      <c r="E3" s="28">
        <v>10000</v>
      </c>
      <c r="G3" t="s">
        <v>51</v>
      </c>
      <c r="H3" t="s">
        <v>189</v>
      </c>
      <c r="I3" s="24">
        <v>10000</v>
      </c>
    </row>
    <row r="4" spans="3:9">
      <c r="C4" t="s">
        <v>183</v>
      </c>
      <c r="D4" s="25">
        <v>1.6500000000000001E-2</v>
      </c>
      <c r="E4" s="24">
        <f>E3*1.65%</f>
        <v>165</v>
      </c>
    </row>
    <row r="5" spans="3:9">
      <c r="C5" t="s">
        <v>184</v>
      </c>
      <c r="D5" s="25">
        <v>7.5999999999999998E-2</v>
      </c>
      <c r="E5" s="24">
        <f>E3*7.6/100</f>
        <v>760</v>
      </c>
      <c r="G5" t="s">
        <v>187</v>
      </c>
      <c r="H5" t="s">
        <v>185</v>
      </c>
      <c r="I5" s="24">
        <f>E6</f>
        <v>1700.0000000000002</v>
      </c>
    </row>
    <row r="6" spans="3:9">
      <c r="C6" t="s">
        <v>185</v>
      </c>
      <c r="D6" s="26">
        <v>0.17</v>
      </c>
      <c r="E6" s="24">
        <f>E3*0.17</f>
        <v>1700.0000000000002</v>
      </c>
      <c r="G6" t="s">
        <v>187</v>
      </c>
      <c r="H6" t="s">
        <v>183</v>
      </c>
      <c r="I6" s="24">
        <f>E4</f>
        <v>165</v>
      </c>
    </row>
    <row r="7" spans="3:9">
      <c r="G7" t="s">
        <v>187</v>
      </c>
      <c r="H7" t="s">
        <v>184</v>
      </c>
      <c r="I7" s="24">
        <f>E5</f>
        <v>760</v>
      </c>
    </row>
    <row r="8" spans="3:9">
      <c r="C8" s="32" t="s">
        <v>197</v>
      </c>
      <c r="D8" s="32"/>
      <c r="E8" s="33">
        <f>E3</f>
        <v>10000</v>
      </c>
      <c r="G8" t="s">
        <v>51</v>
      </c>
      <c r="H8" t="s">
        <v>190</v>
      </c>
      <c r="I8" s="24">
        <f>E6</f>
        <v>1700.0000000000002</v>
      </c>
    </row>
    <row r="9" spans="3:9">
      <c r="G9" t="s">
        <v>51</v>
      </c>
      <c r="H9" t="s">
        <v>191</v>
      </c>
      <c r="I9" s="24">
        <f>E4</f>
        <v>165</v>
      </c>
    </row>
    <row r="10" spans="3:9">
      <c r="G10" t="s">
        <v>51</v>
      </c>
      <c r="H10" t="s">
        <v>192</v>
      </c>
      <c r="I10" s="24">
        <f>E5</f>
        <v>760</v>
      </c>
    </row>
    <row r="12" spans="3:9">
      <c r="H12" t="s">
        <v>193</v>
      </c>
      <c r="I12" s="24">
        <f>I3-I5-I6-I7</f>
        <v>7375</v>
      </c>
    </row>
    <row r="14" spans="3:9" ht="15">
      <c r="D14" s="27" t="s">
        <v>194</v>
      </c>
      <c r="E14" s="28" t="s">
        <v>186</v>
      </c>
      <c r="G14" t="s">
        <v>187</v>
      </c>
      <c r="H14" t="s">
        <v>188</v>
      </c>
      <c r="I14" s="24">
        <f>E22</f>
        <v>9910.8075000000008</v>
      </c>
    </row>
    <row r="15" spans="3:9" ht="15">
      <c r="C15" s="27" t="s">
        <v>182</v>
      </c>
      <c r="E15" s="28">
        <f>E3-E4-E5</f>
        <v>9075</v>
      </c>
      <c r="G15" t="s">
        <v>51</v>
      </c>
      <c r="H15" t="s">
        <v>189</v>
      </c>
      <c r="I15" s="24">
        <f>E15</f>
        <v>9075</v>
      </c>
    </row>
    <row r="16" spans="3:9">
      <c r="C16" t="s">
        <v>183</v>
      </c>
      <c r="D16" s="25">
        <v>0</v>
      </c>
      <c r="E16" s="24">
        <f>E15*D16</f>
        <v>0</v>
      </c>
      <c r="G16" t="s">
        <v>51</v>
      </c>
      <c r="H16" t="s">
        <v>198</v>
      </c>
      <c r="I16" s="24">
        <f>E19+E20</f>
        <v>9.0750000000000011</v>
      </c>
    </row>
    <row r="17" spans="3:9">
      <c r="C17" t="s">
        <v>184</v>
      </c>
      <c r="D17" s="25">
        <v>0</v>
      </c>
      <c r="E17" s="24">
        <f>E15*D17</f>
        <v>0</v>
      </c>
      <c r="G17" t="s">
        <v>51</v>
      </c>
      <c r="H17" t="s">
        <v>50</v>
      </c>
      <c r="I17" s="24">
        <f>E21</f>
        <v>826.73249999999996</v>
      </c>
    </row>
    <row r="18" spans="3:9" ht="15">
      <c r="C18" s="29" t="s">
        <v>185</v>
      </c>
      <c r="D18" s="30">
        <v>0.17</v>
      </c>
      <c r="E18" s="31">
        <f>(E15+4.54+4.54+826.73)*D18</f>
        <v>1684.8377000000003</v>
      </c>
    </row>
    <row r="19" spans="3:9">
      <c r="C19" t="s">
        <v>195</v>
      </c>
      <c r="D19" s="25">
        <v>5.0000000000000001E-4</v>
      </c>
      <c r="E19" s="24">
        <f>E15*D19</f>
        <v>4.5375000000000005</v>
      </c>
      <c r="G19" t="s">
        <v>187</v>
      </c>
      <c r="H19" t="s">
        <v>185</v>
      </c>
      <c r="I19" s="24">
        <f>E18</f>
        <v>1684.8377000000003</v>
      </c>
    </row>
    <row r="20" spans="3:9">
      <c r="C20" t="s">
        <v>196</v>
      </c>
      <c r="D20" s="25">
        <v>5.0000000000000001E-4</v>
      </c>
      <c r="E20" s="24">
        <f>E15*D20</f>
        <v>4.5375000000000005</v>
      </c>
      <c r="G20" t="s">
        <v>51</v>
      </c>
      <c r="H20" t="s">
        <v>190</v>
      </c>
      <c r="I20" s="24">
        <f>E18</f>
        <v>1684.8377000000003</v>
      </c>
    </row>
    <row r="21" spans="3:9">
      <c r="C21" t="s">
        <v>49</v>
      </c>
      <c r="D21" s="25">
        <v>9.11E-2</v>
      </c>
      <c r="E21" s="24">
        <f>D21*E15</f>
        <v>826.73249999999996</v>
      </c>
    </row>
    <row r="22" spans="3:9">
      <c r="C22" s="32" t="s">
        <v>197</v>
      </c>
      <c r="D22" s="32"/>
      <c r="E22" s="33">
        <f>E15+E19+E20+E21</f>
        <v>9910.8075000000008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AF63-A00C-442F-B839-491055B9AFBE}">
  <dimension ref="B1:D14"/>
  <sheetViews>
    <sheetView zoomScale="220" zoomScaleNormal="220" workbookViewId="0">
      <selection activeCell="D6" sqref="D6"/>
    </sheetView>
  </sheetViews>
  <sheetFormatPr defaultRowHeight="14.25"/>
  <cols>
    <col min="3" max="5" width="29.625" customWidth="1"/>
  </cols>
  <sheetData>
    <row r="1" spans="2:4" ht="15" thickBot="1"/>
    <row r="2" spans="2:4" ht="24" thickBot="1">
      <c r="B2" s="34" t="s">
        <v>187</v>
      </c>
      <c r="C2" s="34" t="s">
        <v>188</v>
      </c>
      <c r="D2" s="35">
        <v>10771.6</v>
      </c>
    </row>
    <row r="3" spans="2:4" ht="24.75" thickTop="1" thickBot="1">
      <c r="B3" s="36" t="s">
        <v>51</v>
      </c>
      <c r="C3" s="36" t="s">
        <v>189</v>
      </c>
      <c r="D3" s="37">
        <v>9863.2099999999991</v>
      </c>
    </row>
    <row r="4" spans="2:4" ht="24" thickBot="1">
      <c r="B4" s="38" t="s">
        <v>51</v>
      </c>
      <c r="C4" s="38" t="s">
        <v>199</v>
      </c>
      <c r="D4" s="39">
        <v>4.93</v>
      </c>
    </row>
    <row r="5" spans="2:4" ht="24" thickBot="1">
      <c r="B5" s="38" t="s">
        <v>51</v>
      </c>
      <c r="C5" s="38" t="s">
        <v>200</v>
      </c>
      <c r="D5" s="39">
        <v>4.93</v>
      </c>
    </row>
    <row r="6" spans="2:4" ht="24" thickBot="1">
      <c r="B6" s="38" t="s">
        <v>51</v>
      </c>
      <c r="C6" s="38" t="s">
        <v>50</v>
      </c>
      <c r="D6" s="39">
        <v>898.53</v>
      </c>
    </row>
    <row r="9" spans="2:4" ht="23.25">
      <c r="C9" s="40" t="s">
        <v>201</v>
      </c>
    </row>
    <row r="12" spans="2:4">
      <c r="C12" t="s">
        <v>202</v>
      </c>
      <c r="D12" s="24">
        <f>D2</f>
        <v>10771.6</v>
      </c>
    </row>
    <row r="13" spans="2:4">
      <c r="C13" t="s">
        <v>203</v>
      </c>
      <c r="D13">
        <f>D4+D5+D6</f>
        <v>908.39</v>
      </c>
    </row>
    <row r="14" spans="2:4">
      <c r="C14" t="s">
        <v>189</v>
      </c>
      <c r="D14" s="24">
        <f>D12-D13</f>
        <v>9863.2100000000009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Instruções</vt:lpstr>
      <vt:lpstr>Premissas</vt:lpstr>
      <vt:lpstr>Débitos</vt:lpstr>
      <vt:lpstr>Créditos</vt:lpstr>
      <vt:lpstr>Apuração</vt:lpstr>
      <vt:lpstr>Lançamentos</vt:lpstr>
      <vt:lpstr>Controles</vt:lpstr>
      <vt:lpstr>2026 e 2027</vt:lpstr>
      <vt:lpstr>Venda</vt:lpstr>
      <vt:lpstr>Split a vista</vt:lpstr>
      <vt:lpstr>SPLIT Parcelado</vt:lpstr>
      <vt:lpstr>DARF</vt:lpstr>
      <vt:lpstr>DARF2</vt:lpstr>
      <vt:lpstr>Adiantamento</vt:lpstr>
      <vt:lpstr>2026 - Teste com recolhimento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Santana Santos</cp:lastModifiedBy>
  <dcterms:modified xsi:type="dcterms:W3CDTF">2026-08-10T16:44:36Z</dcterms:modified>
</cp:coreProperties>
</file>